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750" activeTab="0"/>
  </bookViews>
  <sheets>
    <sheet name="установка приборов учета" sheetId="1" r:id="rId1"/>
    <sheet name="Смета на монтаж ОДПУ" sheetId="2" r:id="rId2"/>
    <sheet name="Смета на монтаж ИП" sheetId="3" r:id="rId3"/>
    <sheet name="Смета на объединение узлов" sheetId="4" r:id="rId4"/>
    <sheet name="Смета на проект" sheetId="5" r:id="rId5"/>
  </sheets>
  <externalReferences>
    <externalReference r:id="rId8"/>
    <externalReference r:id="rId9"/>
    <externalReference r:id="rId10"/>
  </externalReferences>
  <definedNames>
    <definedName name="_xlnm.Print_Area" localSheetId="0">'установка приборов учета'!$A$1:$V$53</definedName>
  </definedNames>
  <calcPr fullCalcOnLoad="1"/>
</workbook>
</file>

<file path=xl/sharedStrings.xml><?xml version="1.0" encoding="utf-8"?>
<sst xmlns="http://schemas.openxmlformats.org/spreadsheetml/2006/main" count="529" uniqueCount="127">
  <si>
    <t>манометр</t>
  </si>
  <si>
    <t>Сантехкомплект</t>
  </si>
  <si>
    <t>НПО Промприбор</t>
  </si>
  <si>
    <t>теплоизолирующая краска Изоллат-03</t>
  </si>
  <si>
    <t>ООО Специальные технологии-М</t>
  </si>
  <si>
    <t>л</t>
  </si>
  <si>
    <t>шт</t>
  </si>
  <si>
    <t>м</t>
  </si>
  <si>
    <t>кабель КУПЭВ 2*2*0,5 для датчиков температуры</t>
  </si>
  <si>
    <t>кабель витая пара для подключения к Интернет</t>
  </si>
  <si>
    <t>Диаметр измерительного участка, мм</t>
  </si>
  <si>
    <t>ед. изм.</t>
  </si>
  <si>
    <t>кол-во</t>
  </si>
  <si>
    <t>Наименование</t>
  </si>
  <si>
    <t xml:space="preserve">Источник </t>
  </si>
  <si>
    <t>кабель 2*0,35 для датчиков давления, расхода</t>
  </si>
  <si>
    <t xml:space="preserve">щит приборный </t>
  </si>
  <si>
    <t>металлорукав</t>
  </si>
  <si>
    <t>кабель 3*0,35 для подключения 220В</t>
  </si>
  <si>
    <t>Итого основных материалов, руб.</t>
  </si>
  <si>
    <t>диапазон расходомеров, куб.м./час</t>
  </si>
  <si>
    <t>0,026-6,5</t>
  </si>
  <si>
    <t>0,05-12,5</t>
  </si>
  <si>
    <t>0,08-20</t>
  </si>
  <si>
    <t>0,15-38</t>
  </si>
  <si>
    <t>0,22-55</t>
  </si>
  <si>
    <t>Преобразователь расхода МФ, класс В, фланцевый (5.2)</t>
  </si>
  <si>
    <t>0,32-80</t>
  </si>
  <si>
    <t>0,52-130</t>
  </si>
  <si>
    <t>0,8-200</t>
  </si>
  <si>
    <t>1,44-360</t>
  </si>
  <si>
    <t>измерительная линия с монтажными вставками</t>
  </si>
  <si>
    <t xml:space="preserve">комплект датчиков температуры </t>
  </si>
  <si>
    <t>тепловычислитель ТМК-Н130</t>
  </si>
  <si>
    <t>Адаптер модема</t>
  </si>
  <si>
    <t>выход реверсивного потока, сетевой блок питания 12В преобразователя расхода</t>
  </si>
  <si>
    <t>Кран шаровый стальной под приварку (фирма "BROEN S.A.", Польша) на спускники</t>
  </si>
  <si>
    <t xml:space="preserve">Кран стальной фланцевый (фирма "BROEN S.A.", Польша) </t>
  </si>
  <si>
    <t>фильтр магнитный (Завод Водоприбор, Россия),</t>
  </si>
  <si>
    <t>фланцы</t>
  </si>
  <si>
    <t>сетевой блок питания 12В преобразователя расхода</t>
  </si>
  <si>
    <t>Измерительная линия с монтажными вставками</t>
  </si>
  <si>
    <t>Преобразователь расхода МФ, класс В, фланцевый (5.2.1)</t>
  </si>
  <si>
    <t>интерфейс RS-485 для тепловычислителя</t>
  </si>
  <si>
    <t>преобразователь давления "Коммуналец" СДВ-И с сетевым блоком питания 24В</t>
  </si>
  <si>
    <t>Примерный расчет стоимости установки общего узла учета тепловой энергии в зависимости от диаметра измерительного участка по состоянию на 20.09.2019 с учетом НДС 20%</t>
  </si>
  <si>
    <t>Стоимость согласно Таблице № 4, п.16 Справочника базовых цен на проектные работы в строительстве "Коммунальные инженерные сети и сооружения ( утв. Приказом Минрегиона РФ от 24.05.12 № 213), с индексом пересчета к=4,15 (Письмо Минстроя России от 17.05.19 № 17798-ДВ/09) составляет 28390 рублей за один узел.</t>
  </si>
  <si>
    <t>4. Проектирование общедомового узла учета 28000 рублей.</t>
  </si>
  <si>
    <t>5. Стоимость установки индивидуального (квартирного) счетчика горячей воды 10000 рублей.</t>
  </si>
  <si>
    <t>"СОГЛАСОВАНО"</t>
  </si>
  <si>
    <t>"УТВЕРЖДАЮ"</t>
  </si>
  <si>
    <t>"_____"________________ 2019 г.</t>
  </si>
  <si>
    <t>(наименование стройки)</t>
  </si>
  <si>
    <t>(наименование работ и затрат, наименование объекта)</t>
  </si>
  <si>
    <t>тыс. руб.</t>
  </si>
  <si>
    <t>Шифр расценки и коды ресурсов</t>
  </si>
  <si>
    <t>Наименование работ и затрат</t>
  </si>
  <si>
    <t>Стоимость в текущих ценах</t>
  </si>
  <si>
    <t>НР от ФОТ</t>
  </si>
  <si>
    <t>%</t>
  </si>
  <si>
    <t>СП от ФОТ</t>
  </si>
  <si>
    <t>чел-ч</t>
  </si>
  <si>
    <t>Эксплуатация машин</t>
  </si>
  <si>
    <t>в т.ч. зарплата машинистов</t>
  </si>
  <si>
    <t>Материальные ресурсы</t>
  </si>
  <si>
    <t xml:space="preserve">Номер заказа   </t>
  </si>
  <si>
    <t>базовая цена</t>
  </si>
  <si>
    <t>текущая цена</t>
  </si>
  <si>
    <t>Сметная стоимость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</si>
  <si>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</si>
  <si>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</si>
  <si>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</si>
  <si>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</si>
  <si>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</si>
  <si>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</si>
  <si>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</si>
  <si>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Составлена в ценах март 2019 года</t>
  </si>
  <si>
    <t>№ п/п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</si>
  <si>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</si>
  <si>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</si>
  <si>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</si>
  <si>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</si>
  <si>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</si>
  <si>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</si>
  <si>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</si>
  <si>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ЗТР всего чел.-час</t>
  </si>
  <si>
    <t>Зарплата</t>
  </si>
  <si>
    <t>Затраты труда</t>
  </si>
  <si>
    <t>Установка счетчика в квартире</t>
  </si>
  <si>
    <t>Итого</t>
  </si>
  <si>
    <t xml:space="preserve">Кран стальной фланцевый полнопроходной КШТ 60.113 (фирма "BROEN S.A.", Польша) </t>
  </si>
  <si>
    <t>фильтр магнитный ( Danfoss 065B7743 или Завод Водоприбор, Россия),</t>
  </si>
  <si>
    <t>3. Стоимость работ по установке общедомового узла учета от 150000 рублей (без материалов)</t>
  </si>
  <si>
    <t>См. примерную смету на объединение двух узлов на отдельном листе.</t>
  </si>
  <si>
    <t>2. Дополнительные затраты на приобретение материалов при наличии гвс (согласно Правилам коммерческого учета при наличии гвс кроме двух расходомеров на общем вводе дополнительно должны быть установлены расходомеры на подающем и циркуляционном трубопроводах гвс) от 96000 рублей.</t>
  </si>
  <si>
    <t>1. Затраты на приобретение основных материалов для общедомового узла учета без гвс (два общих расходомера на ввооде) от 150000 рублей.</t>
  </si>
  <si>
    <t xml:space="preserve">Стоимость работ определяется составляемой на основании проекта сметой. См. примерную смету с двумя расходомерами  Ду=32 мм (без дополнительного учета расхода на гвс) на сумму 152000 рублей на отдельном листе. </t>
  </si>
  <si>
    <t xml:space="preserve">Приложение к _________________________
                                                                                                           (договору, дополнительному соглашению)
</t>
  </si>
  <si>
    <t xml:space="preserve">                                                                                                           (договору, дополнительному соглашению)</t>
  </si>
  <si>
    <t xml:space="preserve">СМЕТА №  </t>
  </si>
  <si>
    <t xml:space="preserve">                                              на проектные (изыскательские) работы</t>
  </si>
  <si>
    <t>Наименование предприятия, здания, сооружения, стадии проектирования, этапа, вида проектных или изыскательских работ :</t>
  </si>
  <si>
    <t xml:space="preserve">Наименование проектной (изыскательской) организации:  </t>
  </si>
  <si>
    <t>Наименование организации заказчика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</si>
  <si>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</si>
  <si>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</si>
  <si>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</si>
  <si>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(a+bx)*Кj или
(объем строительно-монтажных работ)*проц.
</t>
  </si>
  <si>
    <t xml:space="preserve">Стоимость
(т.руб.)
</t>
  </si>
  <si>
    <t>100 или количество * цена</t>
  </si>
  <si>
    <t xml:space="preserve">Стоимость проектных работ в ценах 2001 г. </t>
  </si>
  <si>
    <t xml:space="preserve">Справочник базовых цен на проектные работы в строительстве «Коммунальные инженерные сети и сооружения» 2004г.
 таб. №4 п.16
</t>
  </si>
  <si>
    <t>Итого проектные работы в ценах 2001 г.</t>
  </si>
  <si>
    <t xml:space="preserve">Стоимость проектных работ в текущих ценах </t>
  </si>
  <si>
    <t>4,15- индекс изменения стоимости проектных работ в II  кв. 2019г.</t>
  </si>
  <si>
    <t>5,7х4,15</t>
  </si>
  <si>
    <t>НДС-20 %</t>
  </si>
  <si>
    <t>Главный инженер проекта ___________________________________ /                                 /</t>
  </si>
  <si>
    <t xml:space="preserve">  [ подпись (инициалы, фамилия)]</t>
  </si>
  <si>
    <t xml:space="preserve">Составитель сметы ________________________________________ /                              /
</t>
  </si>
  <si>
    <r>
      <t>Антикоррозиная мастика Вектор (10кг)</t>
    </r>
    <r>
      <rPr>
        <i/>
        <sz val="10"/>
        <rFont val="Arial"/>
        <family val="2"/>
      </rPr>
      <t xml:space="preserve">
Базисная стоимость: 948,30 = [5 898,42 /  6,22]</t>
    </r>
  </si>
  <si>
    <r>
      <t>Катализитор</t>
    </r>
    <r>
      <rPr>
        <i/>
        <sz val="10"/>
        <rFont val="Arial"/>
        <family val="2"/>
      </rPr>
      <t xml:space="preserve">
Базисная стоимость: 47,56 = [295,8 /  6,22]</t>
    </r>
  </si>
  <si>
    <r>
      <t>Кран шаровый усиленных Valtek Perfect 1/2"</t>
    </r>
    <r>
      <rPr>
        <i/>
        <sz val="10"/>
        <rFont val="Arial"/>
        <family val="2"/>
      </rPr>
      <t xml:space="preserve">
Базисная стоимость: 67,29 = [499 / 1,2 /  6,18]</t>
    </r>
  </si>
  <si>
    <r>
      <t>Водосчетчик универсальный Valtek</t>
    </r>
    <r>
      <rPr>
        <i/>
        <sz val="10"/>
        <rFont val="Arial"/>
        <family val="2"/>
      </rPr>
      <t xml:space="preserve">
Базисная стоимость: 114,89 = [852 / 1,2 /  6,18]</t>
    </r>
  </si>
  <si>
    <r>
      <t>Фильтр механической очистки косой</t>
    </r>
    <r>
      <rPr>
        <i/>
        <sz val="10"/>
        <rFont val="Arial"/>
        <family val="2"/>
      </rPr>
      <t xml:space="preserve">
Базисная стоимость: 29,26 = [217 / 1,2 /  6,18]</t>
    </r>
  </si>
  <si>
    <t xml:space="preserve">См. смету установки расходомера Ду=15 мм на отдельном листе. </t>
  </si>
  <si>
    <t>6. Для сведения. Стоимость объединения двух тепловых вводов в доме (прокладка тепловой сети Ду= 50 мм протяженностью 20*2 (в двухтрубном исчислении) оценивается в 130000 рублей, что дешевле установки нескольких узлов учета на каждый тепловой ввод.  МП Теплоснабжение такие оработы не осуществляет.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</si>
</sst>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0\ 0000"/>
    <numFmt numFmtId="184" formatCode="#,##0.00####;[Red]\-\ #,##0.00####"/>
    <numFmt numFmtId="185" formatCode="#,##0.00;[Red]\-\ #,##0.00"/>
    <numFmt numFmtId="186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u val="single"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18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185" fontId="9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8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85" fontId="3" fillId="0" borderId="10" xfId="0" applyNumberFormat="1" applyFont="1" applyBorder="1" applyAlignment="1">
      <alignment horizontal="right"/>
    </xf>
    <xf numFmtId="185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 horizontal="righ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4" borderId="13" xfId="0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6" fillId="35" borderId="11" xfId="0" applyFont="1" applyFill="1" applyBorder="1" applyAlignment="1">
      <alignment vertical="justify"/>
    </xf>
    <xf numFmtId="0" fontId="16" fillId="35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right"/>
    </xf>
    <xf numFmtId="0" fontId="16" fillId="35" borderId="14" xfId="0" applyFont="1" applyFill="1" applyBorder="1" applyAlignment="1">
      <alignment/>
    </xf>
    <xf numFmtId="0" fontId="16" fillId="35" borderId="14" xfId="0" applyFont="1" applyFill="1" applyBorder="1" applyAlignment="1">
      <alignment vertical="justify"/>
    </xf>
    <xf numFmtId="0" fontId="16" fillId="35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left" wrapText="1"/>
    </xf>
    <xf numFmtId="0" fontId="15" fillId="35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0" xfId="0" applyFont="1" applyAlignment="1">
      <alignment horizontal="center" vertical="justify"/>
    </xf>
    <xf numFmtId="0" fontId="4" fillId="0" borderId="0" xfId="0" applyFont="1" applyAlignment="1">
      <alignment horizontal="left" wrapText="1"/>
    </xf>
    <xf numFmtId="18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185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185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Alignment="1">
      <alignment horizontal="left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3" fillId="0" borderId="0" xfId="0" applyFont="1" applyAlignment="1">
      <alignment horizontal="right" vertical="top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gorikova\&#1054;&#1073;&#1097;&#1072;&#1103;%20&#1087;&#1072;&#1087;&#1082;&#1072;\Users\&#1040;&#1076;&#1084;&#1080;&#1085;&#1080;&#1089;&#1090;&#1088;&#1072;&#1090;&#1086;&#1088;\Desktop\&#1059;&#1059;&#1058;&#1069;%20&#1089;%20&#1087;&#1091;&#1089;&#1082;&#1086;&#1085;&#1072;&#1083;&#1072;&#1076;&#1082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9;&#1059;&#1058;&#1069;%202019\&#1057;&#1095;&#1077;&#1090;&#1095;&#1080;&#1082;%20&#1074;%20&#1082;&#1074;&#1072;&#1088;&#1090;&#1080;&#1088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9;&#1059;&#1058;&#1069;%202019\&#1086;&#1073;&#1098;&#1077;&#1076;&#1080;&#1085;&#1077;&#1085;&#1080;&#1077;%20&#1076;&#1074;&#1091;&#1093;%20&#1059;&#1059;&#1058;&#1069;%20&#1074;%20&#1086;&#1076;&#1080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12 гр. по ФЕР"/>
      <sheetName val="Source"/>
      <sheetName val="SourceObSm"/>
      <sheetName val="SmtRes"/>
      <sheetName val="EtalonRes"/>
    </sheetNames>
    <sheetDataSet>
      <sheetData sheetId="1">
        <row r="12">
          <cell r="F12" t="str">
            <v>Новый объект</v>
          </cell>
          <cell r="G12" t="str">
            <v>УУТЭ</v>
          </cell>
          <cell r="J12" t="str">
            <v/>
          </cell>
          <cell r="AH12" t="str">
            <v/>
          </cell>
          <cell r="AL12" t="str">
            <v/>
          </cell>
        </row>
        <row r="20">
          <cell r="G20" t="str">
            <v>Новая локальная смета</v>
          </cell>
        </row>
        <row r="24">
          <cell r="G24" t="str">
            <v>Сантехнические работы</v>
          </cell>
        </row>
        <row r="33">
          <cell r="E33" t="str">
            <v>3</v>
          </cell>
          <cell r="F33" t="str">
            <v>16-06-002-01</v>
          </cell>
          <cell r="G33" t="str">
            <v>Установка водомерных узлов, поставляемых на место монтажа собранными в блоки, без обводной линии диаметром ввода до 65 мм, диаметром водомера до 40 мм</v>
          </cell>
          <cell r="I33">
            <v>2</v>
          </cell>
          <cell r="P33">
            <v>1330.33</v>
          </cell>
          <cell r="Q33">
            <v>131.03</v>
          </cell>
          <cell r="R33">
            <v>26.18</v>
          </cell>
          <cell r="S33">
            <v>2480.3</v>
          </cell>
          <cell r="U33">
            <v>13.16</v>
          </cell>
          <cell r="AC33">
            <v>106.94</v>
          </cell>
          <cell r="AD33">
            <v>8.41</v>
          </cell>
          <cell r="AE33">
            <v>0.63</v>
          </cell>
          <cell r="AF33">
            <v>59.68</v>
          </cell>
          <cell r="AL33">
            <v>106.94</v>
          </cell>
          <cell r="AM33">
            <v>8.41</v>
          </cell>
          <cell r="AN33">
            <v>0.63</v>
          </cell>
          <cell r="AO33">
            <v>59.68</v>
          </cell>
          <cell r="AQ33">
            <v>6.58</v>
          </cell>
          <cell r="AT33">
            <v>128</v>
          </cell>
          <cell r="AU33">
            <v>83</v>
          </cell>
          <cell r="BA33">
            <v>20.78</v>
          </cell>
          <cell r="BB33">
            <v>7.79</v>
          </cell>
          <cell r="BC33">
            <v>6.22</v>
          </cell>
          <cell r="BO33" t="str">
            <v/>
          </cell>
          <cell r="BS33">
            <v>20.78</v>
          </cell>
          <cell r="BZ33">
            <v>128</v>
          </cell>
          <cell r="CA33">
            <v>83</v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I33" t="str">
            <v/>
          </cell>
          <cell r="DW33" t="str">
            <v>узел</v>
          </cell>
        </row>
        <row r="35">
          <cell r="E35" t="str">
            <v>4</v>
          </cell>
          <cell r="F35" t="str">
            <v>16-05-001-02</v>
          </cell>
          <cell r="G35" t="str">
            <v>Установка вентилей, задвижек, затворов, клапанов обратных, кранов проходных на трубопроводах из стальных труб диаметром до 50 мм</v>
          </cell>
          <cell r="I35">
            <v>4</v>
          </cell>
          <cell r="P35">
            <v>613.54</v>
          </cell>
          <cell r="Q35">
            <v>129.31</v>
          </cell>
          <cell r="R35">
            <v>19.12</v>
          </cell>
          <cell r="S35">
            <v>1107.99</v>
          </cell>
          <cell r="U35">
            <v>5.88</v>
          </cell>
          <cell r="AC35">
            <v>24.66</v>
          </cell>
          <cell r="AD35">
            <v>4.15</v>
          </cell>
          <cell r="AE35">
            <v>0.23</v>
          </cell>
          <cell r="AF35">
            <v>13.33</v>
          </cell>
          <cell r="AL35">
            <v>24.66</v>
          </cell>
          <cell r="AM35">
            <v>4.15</v>
          </cell>
          <cell r="AN35">
            <v>0.23</v>
          </cell>
          <cell r="AO35">
            <v>13.33</v>
          </cell>
          <cell r="AQ35">
            <v>1.47</v>
          </cell>
          <cell r="AT35">
            <v>128</v>
          </cell>
          <cell r="AU35">
            <v>83</v>
          </cell>
          <cell r="BA35">
            <v>20.78</v>
          </cell>
          <cell r="BB35">
            <v>7.79</v>
          </cell>
          <cell r="BC35">
            <v>6.22</v>
          </cell>
          <cell r="BO35" t="str">
            <v/>
          </cell>
          <cell r="BS35">
            <v>20.78</v>
          </cell>
          <cell r="BZ35">
            <v>128</v>
          </cell>
          <cell r="CA35">
            <v>83</v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I35" t="str">
            <v/>
          </cell>
          <cell r="DW35" t="str">
            <v>ШТ</v>
          </cell>
        </row>
        <row r="91">
          <cell r="G91" t="str">
            <v>Сантехнические работы</v>
          </cell>
        </row>
        <row r="119">
          <cell r="H119" t="str">
            <v>Итого</v>
          </cell>
          <cell r="P119">
            <v>13459.37</v>
          </cell>
        </row>
        <row r="120">
          <cell r="H120" t="str">
            <v>НДС 20%</v>
          </cell>
          <cell r="P120">
            <v>2691.87</v>
          </cell>
        </row>
        <row r="121">
          <cell r="H121" t="str">
            <v>Всего</v>
          </cell>
          <cell r="P121">
            <v>16151.24</v>
          </cell>
        </row>
        <row r="123">
          <cell r="G123" t="str">
            <v>Электромонтажные работы</v>
          </cell>
        </row>
        <row r="128">
          <cell r="E128" t="str">
            <v>1</v>
          </cell>
          <cell r="F128" t="str">
            <v>м11-06-001-01</v>
          </cell>
          <cell r="G128" t="str">
            <v>Щиты и пульты, масса до 50 кг</v>
          </cell>
          <cell r="I128">
            <v>1</v>
          </cell>
          <cell r="P128">
            <v>606.51</v>
          </cell>
          <cell r="Q128">
            <v>74.47</v>
          </cell>
          <cell r="R128">
            <v>18.49</v>
          </cell>
          <cell r="S128">
            <v>948.19</v>
          </cell>
          <cell r="U128">
            <v>5.15</v>
          </cell>
          <cell r="AC128">
            <v>97.51</v>
          </cell>
          <cell r="AD128">
            <v>9.56</v>
          </cell>
          <cell r="AE128">
            <v>0.89</v>
          </cell>
          <cell r="AF128">
            <v>45.63</v>
          </cell>
          <cell r="AL128">
            <v>97.51</v>
          </cell>
          <cell r="AM128">
            <v>9.56</v>
          </cell>
          <cell r="AN128">
            <v>0.89</v>
          </cell>
          <cell r="AO128">
            <v>45.63</v>
          </cell>
          <cell r="AQ128">
            <v>5.15</v>
          </cell>
          <cell r="AT128">
            <v>80</v>
          </cell>
          <cell r="AU128">
            <v>60</v>
          </cell>
          <cell r="BA128">
            <v>20.78</v>
          </cell>
          <cell r="BB128">
            <v>7.79</v>
          </cell>
          <cell r="BC128">
            <v>6.22</v>
          </cell>
          <cell r="BO128" t="str">
            <v/>
          </cell>
          <cell r="BS128">
            <v>20.78</v>
          </cell>
          <cell r="BZ128">
            <v>80</v>
          </cell>
          <cell r="CA128">
            <v>60</v>
          </cell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I128" t="str">
            <v/>
          </cell>
          <cell r="DW128" t="str">
            <v>ШТ</v>
          </cell>
        </row>
        <row r="130">
          <cell r="E130" t="str">
            <v>2</v>
          </cell>
          <cell r="F130" t="str">
            <v>м08-02-409-01</v>
          </cell>
          <cell r="G130" t="str">
            <v>Труба винипластовая по установленным конструкциям, по стенам и колоннам с креплением скобами, диаметр до 25 мм</v>
          </cell>
          <cell r="I130">
            <v>0.6</v>
          </cell>
          <cell r="P130">
            <v>70.5</v>
          </cell>
          <cell r="Q130">
            <v>156.53</v>
          </cell>
          <cell r="R130">
            <v>28.18</v>
          </cell>
          <cell r="S130">
            <v>2231.52</v>
          </cell>
          <cell r="U130">
            <v>11.424</v>
          </cell>
          <cell r="AC130">
            <v>18.89</v>
          </cell>
          <cell r="AD130">
            <v>33.49</v>
          </cell>
          <cell r="AE130">
            <v>2.26</v>
          </cell>
          <cell r="AF130">
            <v>178.98</v>
          </cell>
          <cell r="AL130">
            <v>18.89</v>
          </cell>
          <cell r="AM130">
            <v>33.49</v>
          </cell>
          <cell r="AN130">
            <v>2.26</v>
          </cell>
          <cell r="AO130">
            <v>178.98</v>
          </cell>
          <cell r="AQ130">
            <v>19.04</v>
          </cell>
          <cell r="AT130">
            <v>95</v>
          </cell>
          <cell r="AU130">
            <v>65</v>
          </cell>
          <cell r="BA130">
            <v>20.78</v>
          </cell>
          <cell r="BB130">
            <v>7.79</v>
          </cell>
          <cell r="BC130">
            <v>6.22</v>
          </cell>
          <cell r="BO130" t="str">
            <v/>
          </cell>
          <cell r="BS130">
            <v>20.78</v>
          </cell>
          <cell r="BZ130">
            <v>95</v>
          </cell>
          <cell r="CA130">
            <v>65</v>
          </cell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I130" t="str">
            <v/>
          </cell>
          <cell r="DW130" t="str">
            <v>100 м</v>
          </cell>
        </row>
        <row r="134">
          <cell r="E134" t="str">
            <v>4</v>
          </cell>
          <cell r="F134" t="str">
            <v>м08-02-412-03</v>
          </cell>
          <cell r="G134" t="str">
            <v>Затягивание провода в проложенные трубы и металлические рукава первого одножильного или многожильного в общей оплетке, суммарное сечение до 16 мм2</v>
          </cell>
          <cell r="I134">
            <v>0.6</v>
          </cell>
          <cell r="P134">
            <v>84.68</v>
          </cell>
          <cell r="Q134">
            <v>24.91</v>
          </cell>
          <cell r="R134">
            <v>9.48</v>
          </cell>
          <cell r="S134">
            <v>737.23</v>
          </cell>
          <cell r="U134">
            <v>3.774</v>
          </cell>
          <cell r="AC134">
            <v>22.69</v>
          </cell>
          <cell r="AD134">
            <v>5.33</v>
          </cell>
          <cell r="AE134">
            <v>0.76</v>
          </cell>
          <cell r="AF134">
            <v>59.13</v>
          </cell>
          <cell r="AL134">
            <v>22.69</v>
          </cell>
          <cell r="AM134">
            <v>5.33</v>
          </cell>
          <cell r="AN134">
            <v>0.76</v>
          </cell>
          <cell r="AO134">
            <v>59.13</v>
          </cell>
          <cell r="AQ134">
            <v>6.29</v>
          </cell>
          <cell r="AT134">
            <v>95</v>
          </cell>
          <cell r="AU134">
            <v>65</v>
          </cell>
          <cell r="BA134">
            <v>20.78</v>
          </cell>
          <cell r="BB134">
            <v>7.79</v>
          </cell>
          <cell r="BC134">
            <v>6.22</v>
          </cell>
          <cell r="BO134" t="str">
            <v/>
          </cell>
          <cell r="BS134">
            <v>20.78</v>
          </cell>
          <cell r="BZ134">
            <v>95</v>
          </cell>
          <cell r="CA134">
            <v>65</v>
          </cell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I134" t="str">
            <v/>
          </cell>
          <cell r="DW134" t="str">
            <v>100 м</v>
          </cell>
        </row>
        <row r="138">
          <cell r="E138" t="str">
            <v>6</v>
          </cell>
          <cell r="F138" t="str">
            <v>м11-08-001-03</v>
          </cell>
          <cell r="G138" t="str">
            <v>Присоединение к приборам концов жил электрических проводок под винт без изготовления колец с обслуживанием</v>
          </cell>
          <cell r="I138">
            <v>0.18</v>
          </cell>
          <cell r="P138">
            <v>50.18</v>
          </cell>
          <cell r="S138">
            <v>393.34</v>
          </cell>
          <cell r="U138">
            <v>1.854</v>
          </cell>
          <cell r="AC138">
            <v>44.82</v>
          </cell>
          <cell r="AF138">
            <v>105.16</v>
          </cell>
          <cell r="AL138">
            <v>44.82</v>
          </cell>
          <cell r="AM138">
            <v>0</v>
          </cell>
          <cell r="AO138">
            <v>105.16</v>
          </cell>
          <cell r="AQ138">
            <v>10.3</v>
          </cell>
          <cell r="AT138">
            <v>80</v>
          </cell>
          <cell r="AU138">
            <v>60</v>
          </cell>
          <cell r="BA138">
            <v>20.78</v>
          </cell>
          <cell r="BC138">
            <v>6.22</v>
          </cell>
          <cell r="BO138" t="str">
            <v/>
          </cell>
          <cell r="BZ138">
            <v>80</v>
          </cell>
          <cell r="CA138">
            <v>60</v>
          </cell>
          <cell r="DD138" t="str">
            <v/>
          </cell>
          <cell r="DG138" t="str">
            <v/>
          </cell>
          <cell r="DI138" t="str">
            <v/>
          </cell>
          <cell r="DW138" t="str">
            <v>100 ШТ</v>
          </cell>
        </row>
        <row r="140">
          <cell r="G140" t="str">
            <v>Электромонтажные работы</v>
          </cell>
        </row>
        <row r="168">
          <cell r="H168" t="str">
            <v>Итого</v>
          </cell>
          <cell r="P168">
            <v>12092.34</v>
          </cell>
        </row>
        <row r="169">
          <cell r="H169" t="str">
            <v>НДС 20%</v>
          </cell>
          <cell r="P169">
            <v>2418.47</v>
          </cell>
        </row>
        <row r="170">
          <cell r="H170" t="str">
            <v>Всего</v>
          </cell>
          <cell r="P170">
            <v>14510.81</v>
          </cell>
        </row>
        <row r="172">
          <cell r="G172" t="str">
            <v>Пусконаладочные работы</v>
          </cell>
        </row>
        <row r="177">
          <cell r="E177" t="str">
            <v>1</v>
          </cell>
          <cell r="F177" t="str">
            <v>п07-10-015-02</v>
          </cell>
          <cell r="G177" t="str">
            <v>Узел учета тепловой энергии (УУТЭ) без диспетчеризации</v>
          </cell>
          <cell r="I177">
            <v>1</v>
          </cell>
          <cell r="S177">
            <v>49347.38</v>
          </cell>
          <cell r="U177">
            <v>264</v>
          </cell>
          <cell r="AF177">
            <v>3588.9</v>
          </cell>
          <cell r="AL177">
            <v>0</v>
          </cell>
          <cell r="AM177">
            <v>0</v>
          </cell>
          <cell r="AO177">
            <v>3588.9</v>
          </cell>
          <cell r="AQ177">
            <v>264</v>
          </cell>
          <cell r="AT177">
            <v>65</v>
          </cell>
          <cell r="AU177">
            <v>40</v>
          </cell>
          <cell r="BA177">
            <v>13.75</v>
          </cell>
          <cell r="BO177" t="str">
            <v/>
          </cell>
          <cell r="BZ177">
            <v>65</v>
          </cell>
          <cell r="CA177">
            <v>40</v>
          </cell>
          <cell r="DG177" t="str">
            <v/>
          </cell>
          <cell r="DI177" t="str">
            <v/>
          </cell>
          <cell r="DW177" t="str">
            <v>КОМПЛ</v>
          </cell>
        </row>
        <row r="179">
          <cell r="G179" t="str">
            <v>Пусконаладочные работы</v>
          </cell>
        </row>
        <row r="207">
          <cell r="H207" t="str">
            <v>Итого</v>
          </cell>
          <cell r="P207">
            <v>101162.13</v>
          </cell>
        </row>
        <row r="208">
          <cell r="H208" t="str">
            <v>НДС 20%</v>
          </cell>
          <cell r="P208">
            <v>20232.43</v>
          </cell>
        </row>
        <row r="209">
          <cell r="H209" t="str">
            <v>Всего</v>
          </cell>
          <cell r="P209">
            <v>121394.56</v>
          </cell>
        </row>
        <row r="211">
          <cell r="G211" t="str">
            <v>Новая локальная смета</v>
          </cell>
        </row>
        <row r="239">
          <cell r="H239" t="str">
            <v>Итого</v>
          </cell>
          <cell r="P239">
            <v>126713.84</v>
          </cell>
        </row>
        <row r="240">
          <cell r="H240" t="str">
            <v>НДС 20%</v>
          </cell>
          <cell r="P240">
            <v>25342.77</v>
          </cell>
        </row>
        <row r="241">
          <cell r="H241" t="str">
            <v>Всего</v>
          </cell>
          <cell r="P241">
            <v>152056.61</v>
          </cell>
        </row>
        <row r="252">
          <cell r="P252">
            <v>0</v>
          </cell>
        </row>
        <row r="257">
          <cell r="P257">
            <v>101.45</v>
          </cell>
        </row>
        <row r="258">
          <cell r="P258">
            <v>57245.95</v>
          </cell>
        </row>
        <row r="260">
          <cell r="P260">
            <v>13459.37</v>
          </cell>
        </row>
        <row r="261">
          <cell r="P261">
            <v>12092.34</v>
          </cell>
        </row>
        <row r="262">
          <cell r="P262">
            <v>101162.13</v>
          </cell>
        </row>
        <row r="263">
          <cell r="P263">
            <v>0</v>
          </cell>
        </row>
        <row r="265">
          <cell r="P265">
            <v>305.242</v>
          </cell>
        </row>
        <row r="266">
          <cell r="P266">
            <v>0.394</v>
          </cell>
        </row>
        <row r="270">
          <cell r="P270">
            <v>126713.84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12 гр. по ФЕР"/>
      <sheetName val="Source"/>
      <sheetName val="SourceObSm"/>
      <sheetName val="SmtRes"/>
      <sheetName val="EtalonRes"/>
    </sheetNames>
    <sheetDataSet>
      <sheetData sheetId="1">
        <row r="12">
          <cell r="F12" t="str">
            <v>Новый объект</v>
          </cell>
          <cell r="G12" t="str">
            <v>Установка счетчика горячей воды в квартиру</v>
          </cell>
          <cell r="J12" t="str">
            <v/>
          </cell>
          <cell r="AH12" t="str">
            <v/>
          </cell>
          <cell r="AL12" t="str">
            <v/>
          </cell>
        </row>
        <row r="20">
          <cell r="G20" t="str">
            <v>Новая локальная смета</v>
          </cell>
        </row>
        <row r="25">
          <cell r="E25" t="str">
            <v>1</v>
          </cell>
          <cell r="F25" t="str">
            <v>65-23-1</v>
          </cell>
          <cell r="G25" t="str">
            <v>Слив и наполнение водой системы отопления без осмотра системы</v>
          </cell>
          <cell r="I25">
            <v>0.1</v>
          </cell>
          <cell r="S25">
            <v>6.48</v>
          </cell>
          <cell r="U25">
            <v>0.041</v>
          </cell>
          <cell r="AF25">
            <v>3.12</v>
          </cell>
          <cell r="AL25">
            <v>0</v>
          </cell>
          <cell r="AM25">
            <v>0</v>
          </cell>
          <cell r="AO25">
            <v>3.12</v>
          </cell>
          <cell r="AQ25">
            <v>0.41</v>
          </cell>
          <cell r="AT25">
            <v>74</v>
          </cell>
          <cell r="AU25">
            <v>50</v>
          </cell>
          <cell r="BA25">
            <v>20.78</v>
          </cell>
          <cell r="BO25" t="str">
            <v/>
          </cell>
          <cell r="BZ25">
            <v>74</v>
          </cell>
          <cell r="CA25">
            <v>50</v>
          </cell>
          <cell r="DG25" t="str">
            <v/>
          </cell>
          <cell r="DI25" t="str">
            <v/>
          </cell>
          <cell r="DW25" t="str">
            <v>1000 м3</v>
          </cell>
        </row>
        <row r="27">
          <cell r="E27" t="str">
            <v>2</v>
          </cell>
          <cell r="F27" t="str">
            <v>65-15-1</v>
          </cell>
          <cell r="G27" t="str">
            <v>Смена отдельных участков трубопроводов с заготовкой труб в построечных условиях диаметром до 20 мм</v>
          </cell>
          <cell r="I27">
            <v>0.01</v>
          </cell>
          <cell r="P27">
            <v>2.79</v>
          </cell>
          <cell r="Q27">
            <v>4.03</v>
          </cell>
          <cell r="R27">
            <v>0.52</v>
          </cell>
          <cell r="S27">
            <v>164.41</v>
          </cell>
          <cell r="U27">
            <v>0.893</v>
          </cell>
          <cell r="AC27">
            <v>45.14</v>
          </cell>
          <cell r="AD27">
            <v>51.72</v>
          </cell>
          <cell r="AE27">
            <v>2.51</v>
          </cell>
          <cell r="AF27">
            <v>791.2</v>
          </cell>
          <cell r="AL27">
            <v>45.14</v>
          </cell>
          <cell r="AM27">
            <v>51.72</v>
          </cell>
          <cell r="AN27">
            <v>2.51</v>
          </cell>
          <cell r="AO27">
            <v>791.2</v>
          </cell>
          <cell r="AQ27">
            <v>89.3</v>
          </cell>
          <cell r="AT27">
            <v>103</v>
          </cell>
          <cell r="AU27">
            <v>60</v>
          </cell>
          <cell r="BA27">
            <v>20.78</v>
          </cell>
          <cell r="BB27">
            <v>7.79</v>
          </cell>
          <cell r="BC27">
            <v>6.18</v>
          </cell>
          <cell r="BO27" t="str">
            <v/>
          </cell>
          <cell r="BS27">
            <v>20.78</v>
          </cell>
          <cell r="BZ27">
            <v>103</v>
          </cell>
          <cell r="CA27">
            <v>60</v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I27" t="str">
            <v/>
          </cell>
          <cell r="DW27" t="str">
            <v>100 м</v>
          </cell>
        </row>
        <row r="29">
          <cell r="E29" t="str">
            <v>3</v>
          </cell>
          <cell r="F29" t="str">
            <v>23.3.10.02-0101</v>
          </cell>
          <cell r="G29" t="str">
            <v>Трубы стальные</v>
          </cell>
          <cell r="I29">
            <v>0.003</v>
          </cell>
          <cell r="P29">
            <v>146.84</v>
          </cell>
          <cell r="U29">
            <v>0</v>
          </cell>
          <cell r="AC29">
            <v>7920</v>
          </cell>
          <cell r="AL29">
            <v>7920</v>
          </cell>
          <cell r="BC29">
            <v>6.18</v>
          </cell>
          <cell r="BO29" t="str">
            <v/>
          </cell>
          <cell r="DD29" t="str">
            <v/>
          </cell>
          <cell r="DW29" t="str">
            <v>т</v>
          </cell>
        </row>
        <row r="31">
          <cell r="E31" t="str">
            <v>4</v>
          </cell>
          <cell r="F31" t="str">
            <v>65-3-13</v>
          </cell>
          <cell r="G31" t="str">
            <v>Снятие задвижек диаметром до 100 мм</v>
          </cell>
          <cell r="I31">
            <v>0.01</v>
          </cell>
          <cell r="Q31">
            <v>0.61</v>
          </cell>
          <cell r="R31">
            <v>0.7</v>
          </cell>
          <cell r="S31">
            <v>168.92</v>
          </cell>
          <cell r="U31">
            <v>0.953</v>
          </cell>
          <cell r="AD31">
            <v>7.82</v>
          </cell>
          <cell r="AE31">
            <v>3.38</v>
          </cell>
          <cell r="AF31">
            <v>812.91</v>
          </cell>
          <cell r="AL31">
            <v>0</v>
          </cell>
          <cell r="AM31">
            <v>7.82</v>
          </cell>
          <cell r="AN31">
            <v>3.38</v>
          </cell>
          <cell r="AO31">
            <v>812.91</v>
          </cell>
          <cell r="AQ31">
            <v>95.3</v>
          </cell>
          <cell r="AT31">
            <v>74</v>
          </cell>
          <cell r="AU31">
            <v>50</v>
          </cell>
          <cell r="BA31">
            <v>20.78</v>
          </cell>
          <cell r="BB31">
            <v>7.79</v>
          </cell>
          <cell r="BO31" t="str">
            <v/>
          </cell>
          <cell r="BS31">
            <v>20.78</v>
          </cell>
          <cell r="BZ31">
            <v>74</v>
          </cell>
          <cell r="CA31">
            <v>50</v>
          </cell>
          <cell r="DE31" t="str">
            <v/>
          </cell>
          <cell r="DF31" t="str">
            <v/>
          </cell>
          <cell r="DG31" t="str">
            <v/>
          </cell>
          <cell r="DI31" t="str">
            <v/>
          </cell>
          <cell r="DW31" t="str">
            <v>100 ШТ</v>
          </cell>
        </row>
        <row r="33">
          <cell r="E33" t="str">
            <v>5</v>
          </cell>
          <cell r="F33" t="str">
            <v>16-05-001-01</v>
          </cell>
          <cell r="G33" t="str">
            <v>Установка вентилей, задвижек, затворов, клапанов обратных, кранов проходных на трубопроводах из стальных труб диаметром до 25 мм</v>
          </cell>
          <cell r="I33">
            <v>2</v>
          </cell>
          <cell r="P33">
            <v>311.6</v>
          </cell>
          <cell r="Q33">
            <v>54.53</v>
          </cell>
          <cell r="R33">
            <v>4.99</v>
          </cell>
          <cell r="S33">
            <v>553.99</v>
          </cell>
          <cell r="U33">
            <v>2.94</v>
          </cell>
          <cell r="AC33">
            <v>25.21</v>
          </cell>
          <cell r="AD33">
            <v>3.5</v>
          </cell>
          <cell r="AE33">
            <v>0.12</v>
          </cell>
          <cell r="AF33">
            <v>13.33</v>
          </cell>
          <cell r="AL33">
            <v>25.21</v>
          </cell>
          <cell r="AM33">
            <v>3.5</v>
          </cell>
          <cell r="AN33">
            <v>0.12</v>
          </cell>
          <cell r="AO33">
            <v>13.33</v>
          </cell>
          <cell r="AQ33">
            <v>1.47</v>
          </cell>
          <cell r="AT33">
            <v>128</v>
          </cell>
          <cell r="AU33">
            <v>83</v>
          </cell>
          <cell r="BA33">
            <v>20.78</v>
          </cell>
          <cell r="BB33">
            <v>7.79</v>
          </cell>
          <cell r="BC33">
            <v>6.18</v>
          </cell>
          <cell r="BO33" t="str">
            <v/>
          </cell>
          <cell r="BS33">
            <v>20.78</v>
          </cell>
          <cell r="BZ33">
            <v>128</v>
          </cell>
          <cell r="CA33">
            <v>83</v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I33" t="str">
            <v/>
          </cell>
          <cell r="DW33" t="str">
            <v>ШТ</v>
          </cell>
        </row>
        <row r="35">
          <cell r="E35" t="str">
            <v>6</v>
          </cell>
          <cell r="F35" t="str">
            <v>Цена поставщика</v>
          </cell>
          <cell r="I35">
            <v>2</v>
          </cell>
          <cell r="P35">
            <v>831.7</v>
          </cell>
          <cell r="U35">
            <v>0</v>
          </cell>
          <cell r="AC35">
            <v>67.29</v>
          </cell>
          <cell r="AL35">
            <v>67.29</v>
          </cell>
          <cell r="BC35">
            <v>6.18</v>
          </cell>
          <cell r="BO35" t="str">
            <v/>
          </cell>
          <cell r="DD35" t="str">
            <v/>
          </cell>
          <cell r="DW35" t="str">
            <v>шт.</v>
          </cell>
        </row>
        <row r="37">
          <cell r="E37" t="str">
            <v>9</v>
          </cell>
          <cell r="F37" t="str">
            <v>16-06-005-01</v>
          </cell>
          <cell r="G37" t="str">
            <v>Установка счетчиков (водомеров) диаметром до 40 мм</v>
          </cell>
          <cell r="I37">
            <v>1</v>
          </cell>
          <cell r="P37">
            <v>5.19</v>
          </cell>
          <cell r="Q37">
            <v>5.14</v>
          </cell>
          <cell r="R37">
            <v>2.49</v>
          </cell>
          <cell r="S37">
            <v>80</v>
          </cell>
          <cell r="U37">
            <v>0.41</v>
          </cell>
          <cell r="AC37">
            <v>0.84</v>
          </cell>
          <cell r="AD37">
            <v>0.66</v>
          </cell>
          <cell r="AE37">
            <v>0.12</v>
          </cell>
          <cell r="AF37">
            <v>3.85</v>
          </cell>
          <cell r="AL37">
            <v>0.84</v>
          </cell>
          <cell r="AM37">
            <v>0.66</v>
          </cell>
          <cell r="AN37">
            <v>0.12</v>
          </cell>
          <cell r="AO37">
            <v>3.85</v>
          </cell>
          <cell r="AQ37">
            <v>0.41</v>
          </cell>
          <cell r="AT37">
            <v>128</v>
          </cell>
          <cell r="AU37">
            <v>83</v>
          </cell>
          <cell r="BA37">
            <v>20.78</v>
          </cell>
          <cell r="BB37">
            <v>7.79</v>
          </cell>
          <cell r="BC37">
            <v>6.18</v>
          </cell>
          <cell r="BO37" t="str">
            <v/>
          </cell>
          <cell r="BS37">
            <v>20.78</v>
          </cell>
          <cell r="BZ37">
            <v>128</v>
          </cell>
          <cell r="CA37">
            <v>83</v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I37" t="str">
            <v/>
          </cell>
          <cell r="DW37" t="str">
            <v>ШТ</v>
          </cell>
        </row>
        <row r="39">
          <cell r="E39" t="str">
            <v>10</v>
          </cell>
          <cell r="F39" t="str">
            <v>Цена поставщика</v>
          </cell>
          <cell r="I39">
            <v>1</v>
          </cell>
          <cell r="P39">
            <v>710.02</v>
          </cell>
          <cell r="U39">
            <v>0</v>
          </cell>
          <cell r="AC39">
            <v>114.89</v>
          </cell>
          <cell r="AL39">
            <v>114.89</v>
          </cell>
          <cell r="BC39">
            <v>6.18</v>
          </cell>
          <cell r="BO39" t="str">
            <v/>
          </cell>
          <cell r="DD39" t="str">
            <v/>
          </cell>
          <cell r="DW39" t="str">
            <v>шт.</v>
          </cell>
        </row>
        <row r="41">
          <cell r="E41" t="str">
            <v>12</v>
          </cell>
          <cell r="F41" t="str">
            <v>18-06-007-02</v>
          </cell>
          <cell r="G41" t="str">
            <v>Установка фильтров диаметром 32 мм</v>
          </cell>
          <cell r="I41">
            <v>0.1</v>
          </cell>
          <cell r="P41">
            <v>5.12</v>
          </cell>
          <cell r="Q41">
            <v>36.95</v>
          </cell>
          <cell r="R41">
            <v>7.36</v>
          </cell>
          <cell r="S41">
            <v>159.78</v>
          </cell>
          <cell r="U41">
            <v>0.8180000000000001</v>
          </cell>
          <cell r="AC41">
            <v>8.29</v>
          </cell>
          <cell r="AD41">
            <v>47.43</v>
          </cell>
          <cell r="AE41">
            <v>3.54</v>
          </cell>
          <cell r="AF41">
            <v>76.89</v>
          </cell>
          <cell r="AL41">
            <v>8.29</v>
          </cell>
          <cell r="AM41">
            <v>47.43</v>
          </cell>
          <cell r="AN41">
            <v>3.54</v>
          </cell>
          <cell r="AO41">
            <v>76.89</v>
          </cell>
          <cell r="AQ41">
            <v>8.18</v>
          </cell>
          <cell r="AT41">
            <v>128</v>
          </cell>
          <cell r="AU41">
            <v>83</v>
          </cell>
          <cell r="BA41">
            <v>20.78</v>
          </cell>
          <cell r="BB41">
            <v>7.79</v>
          </cell>
          <cell r="BC41">
            <v>6.18</v>
          </cell>
          <cell r="BO41" t="str">
            <v/>
          </cell>
          <cell r="BS41">
            <v>20.78</v>
          </cell>
          <cell r="BZ41">
            <v>128</v>
          </cell>
          <cell r="CA41">
            <v>83</v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I41" t="str">
            <v/>
          </cell>
          <cell r="DW41" t="str">
            <v>10 ШТ</v>
          </cell>
        </row>
        <row r="43">
          <cell r="E43" t="str">
            <v>13</v>
          </cell>
          <cell r="F43" t="str">
            <v>Цена поставщика</v>
          </cell>
          <cell r="I43">
            <v>1</v>
          </cell>
          <cell r="P43">
            <v>180.83</v>
          </cell>
          <cell r="U43">
            <v>0</v>
          </cell>
          <cell r="AC43">
            <v>29.26</v>
          </cell>
          <cell r="AL43">
            <v>29.26</v>
          </cell>
          <cell r="BC43">
            <v>6.18</v>
          </cell>
          <cell r="BO43" t="str">
            <v/>
          </cell>
          <cell r="DD43" t="str">
            <v/>
          </cell>
          <cell r="DW43" t="str">
            <v>шт.</v>
          </cell>
        </row>
        <row r="45">
          <cell r="E45" t="str">
            <v>14</v>
          </cell>
          <cell r="F45" t="str">
            <v>65-23-1</v>
          </cell>
          <cell r="G45" t="str">
            <v>Слив и наполнение водой системы отопления без осмотра системы</v>
          </cell>
          <cell r="I45">
            <v>0.1</v>
          </cell>
          <cell r="S45">
            <v>6.48</v>
          </cell>
          <cell r="U45">
            <v>0.041</v>
          </cell>
          <cell r="AF45">
            <v>3.12</v>
          </cell>
          <cell r="AL45">
            <v>0</v>
          </cell>
          <cell r="AM45">
            <v>0</v>
          </cell>
          <cell r="AO45">
            <v>3.12</v>
          </cell>
          <cell r="AQ45">
            <v>0.41</v>
          </cell>
          <cell r="AT45">
            <v>74</v>
          </cell>
          <cell r="AU45">
            <v>50</v>
          </cell>
          <cell r="BA45">
            <v>20.78</v>
          </cell>
          <cell r="BO45" t="str">
            <v/>
          </cell>
          <cell r="BZ45">
            <v>74</v>
          </cell>
          <cell r="CA45">
            <v>50</v>
          </cell>
          <cell r="DG45" t="str">
            <v/>
          </cell>
          <cell r="DI45" t="str">
            <v/>
          </cell>
          <cell r="DW45" t="str">
            <v>1000 м3</v>
          </cell>
        </row>
        <row r="47">
          <cell r="E47" t="str">
            <v>15</v>
          </cell>
          <cell r="F47" t="str">
            <v>16-07-003-01</v>
          </cell>
          <cell r="G47" t="str">
            <v>Врезка в действующие внутренние сети трубопроводов отопления и водоснабжения диаметром 15 мм</v>
          </cell>
          <cell r="I47">
            <v>1</v>
          </cell>
          <cell r="P47">
            <v>61.18</v>
          </cell>
          <cell r="Q47">
            <v>36.85</v>
          </cell>
          <cell r="R47">
            <v>2.49</v>
          </cell>
          <cell r="S47">
            <v>919.31</v>
          </cell>
          <cell r="U47">
            <v>4.46</v>
          </cell>
          <cell r="AC47">
            <v>9.9</v>
          </cell>
          <cell r="AD47">
            <v>4.73</v>
          </cell>
          <cell r="AE47">
            <v>0.12</v>
          </cell>
          <cell r="AF47">
            <v>44.24</v>
          </cell>
          <cell r="AL47">
            <v>9.9</v>
          </cell>
          <cell r="AM47">
            <v>4.73</v>
          </cell>
          <cell r="AN47">
            <v>0.12</v>
          </cell>
          <cell r="AO47">
            <v>44.24</v>
          </cell>
          <cell r="AQ47">
            <v>4.46</v>
          </cell>
          <cell r="AT47">
            <v>128</v>
          </cell>
          <cell r="AU47">
            <v>83</v>
          </cell>
          <cell r="BA47">
            <v>20.78</v>
          </cell>
          <cell r="BB47">
            <v>7.79</v>
          </cell>
          <cell r="BC47">
            <v>6.18</v>
          </cell>
          <cell r="BO47" t="str">
            <v/>
          </cell>
          <cell r="BS47">
            <v>20.78</v>
          </cell>
          <cell r="BZ47">
            <v>128</v>
          </cell>
          <cell r="CA47">
            <v>83</v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I47" t="str">
            <v/>
          </cell>
          <cell r="DW47" t="str">
            <v>ШТ</v>
          </cell>
        </row>
        <row r="49">
          <cell r="G49" t="str">
            <v>Новая локальная смета</v>
          </cell>
        </row>
        <row r="77">
          <cell r="H77" t="str">
            <v>Итого</v>
          </cell>
          <cell r="P77">
            <v>8599.16</v>
          </cell>
        </row>
        <row r="78">
          <cell r="H78" t="str">
            <v>НДС 20%</v>
          </cell>
          <cell r="P78">
            <v>1719.83</v>
          </cell>
        </row>
        <row r="79">
          <cell r="H79" t="str">
            <v>Всего</v>
          </cell>
          <cell r="P79">
            <v>10318.99</v>
          </cell>
        </row>
        <row r="95">
          <cell r="P95">
            <v>18.55</v>
          </cell>
        </row>
        <row r="96">
          <cell r="P96">
            <v>2059.37</v>
          </cell>
        </row>
        <row r="98">
          <cell r="P98">
            <v>8599.16</v>
          </cell>
        </row>
        <row r="103">
          <cell r="P103">
            <v>10.556000000000001</v>
          </cell>
        </row>
        <row r="104">
          <cell r="P104">
            <v>0.0745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12 гр. по ФЕР"/>
      <sheetName val="Source"/>
      <sheetName val="SourceObSm"/>
      <sheetName val="SmtRes"/>
      <sheetName val="EtalonRes"/>
    </sheetNames>
    <sheetDataSet>
      <sheetData sheetId="1">
        <row r="12">
          <cell r="F12" t="str">
            <v>Новый объект</v>
          </cell>
          <cell r="G12" t="str">
            <v>Объединение двух УУТЭ в один</v>
          </cell>
          <cell r="J12" t="str">
            <v/>
          </cell>
          <cell r="AH12" t="str">
            <v/>
          </cell>
          <cell r="AL12" t="str">
            <v/>
          </cell>
        </row>
        <row r="20">
          <cell r="G20" t="str">
            <v>Новая локальная смета</v>
          </cell>
        </row>
        <row r="25">
          <cell r="E25" t="str">
            <v>1</v>
          </cell>
          <cell r="F25" t="str">
            <v>24-01-003-01</v>
          </cell>
          <cell r="G25" t="str">
            <v>Прокладка стальных трубопроводов в проходном канале при номинальном давлении 1,6 МПа, температуре 150°С, диаметр труб 50 мм</v>
          </cell>
          <cell r="I25">
            <v>0.04</v>
          </cell>
          <cell r="P25">
            <v>972.78</v>
          </cell>
          <cell r="Q25">
            <v>3499.71</v>
          </cell>
          <cell r="R25">
            <v>778.85</v>
          </cell>
          <cell r="S25">
            <v>3829.11</v>
          </cell>
          <cell r="U25">
            <v>18.88</v>
          </cell>
          <cell r="AC25">
            <v>3909.89</v>
          </cell>
          <cell r="AD25">
            <v>11231.42</v>
          </cell>
          <cell r="AE25">
            <v>937.02</v>
          </cell>
          <cell r="AF25">
            <v>4606.72</v>
          </cell>
          <cell r="AL25">
            <v>3909.89</v>
          </cell>
          <cell r="AM25">
            <v>11231.42</v>
          </cell>
          <cell r="AN25">
            <v>937.02</v>
          </cell>
          <cell r="AO25">
            <v>4606.72</v>
          </cell>
          <cell r="AQ25">
            <v>472</v>
          </cell>
          <cell r="AT25">
            <v>130</v>
          </cell>
          <cell r="AU25">
            <v>89</v>
          </cell>
          <cell r="BA25">
            <v>20.78</v>
          </cell>
          <cell r="BB25">
            <v>7.79</v>
          </cell>
          <cell r="BC25">
            <v>6.22</v>
          </cell>
          <cell r="BO25" t="str">
            <v/>
          </cell>
          <cell r="BS25">
            <v>20.78</v>
          </cell>
          <cell r="BZ25">
            <v>130</v>
          </cell>
          <cell r="CA25">
            <v>89</v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  <cell r="DI25" t="str">
            <v/>
          </cell>
          <cell r="DW25" t="str">
            <v>км</v>
          </cell>
        </row>
        <row r="27">
          <cell r="E27" t="str">
            <v>2</v>
          </cell>
          <cell r="F27" t="str">
            <v>23.5.02.02-0011</v>
          </cell>
          <cell r="G27" t="str">
            <v>Трубы стальные электросварные прямошовные диаметром 50-80 мм</v>
          </cell>
          <cell r="I27">
            <v>0.209</v>
          </cell>
          <cell r="P27">
            <v>11784.19</v>
          </cell>
          <cell r="U27">
            <v>0</v>
          </cell>
          <cell r="AC27">
            <v>9064.9</v>
          </cell>
          <cell r="AL27">
            <v>9064.9</v>
          </cell>
          <cell r="BC27">
            <v>6.22</v>
          </cell>
          <cell r="BO27" t="str">
            <v/>
          </cell>
          <cell r="DD27" t="str">
            <v/>
          </cell>
          <cell r="DW27" t="str">
            <v>т</v>
          </cell>
        </row>
        <row r="29">
          <cell r="E29" t="str">
            <v>3</v>
          </cell>
          <cell r="F29" t="str">
            <v>13-06-003-01</v>
          </cell>
          <cell r="G29" t="str">
            <v>Очистка поверхности щетками</v>
          </cell>
          <cell r="I29">
            <v>7.2</v>
          </cell>
          <cell r="S29">
            <v>1149.05</v>
          </cell>
          <cell r="U29">
            <v>6.48</v>
          </cell>
          <cell r="AF29">
            <v>7.68</v>
          </cell>
          <cell r="AL29">
            <v>0</v>
          </cell>
          <cell r="AM29">
            <v>0</v>
          </cell>
          <cell r="AO29">
            <v>7.68</v>
          </cell>
          <cell r="AQ29">
            <v>0.9</v>
          </cell>
          <cell r="AT29">
            <v>90</v>
          </cell>
          <cell r="AU29">
            <v>70</v>
          </cell>
          <cell r="BA29">
            <v>20.78</v>
          </cell>
          <cell r="BO29" t="str">
            <v/>
          </cell>
          <cell r="BZ29">
            <v>90</v>
          </cell>
          <cell r="CA29">
            <v>70</v>
          </cell>
          <cell r="DG29" t="str">
            <v/>
          </cell>
          <cell r="DI29" t="str">
            <v/>
          </cell>
          <cell r="DW29" t="str">
            <v>м2</v>
          </cell>
        </row>
        <row r="31">
          <cell r="E31" t="str">
            <v>4</v>
          </cell>
          <cell r="F31" t="str">
            <v>13-07-001-02</v>
          </cell>
          <cell r="G31" t="str">
            <v>Обезжиривание поверхностей аппаратов и трубопроводов диаметром до 500 мм уайт-спиритом</v>
          </cell>
          <cell r="I31">
            <v>0.072</v>
          </cell>
          <cell r="P31">
            <v>99.62</v>
          </cell>
          <cell r="Q31">
            <v>1.25</v>
          </cell>
          <cell r="R31">
            <v>0.49</v>
          </cell>
          <cell r="S31">
            <v>118.74</v>
          </cell>
          <cell r="U31">
            <v>0.65376</v>
          </cell>
          <cell r="AC31">
            <v>222.44</v>
          </cell>
          <cell r="AD31">
            <v>2.23</v>
          </cell>
          <cell r="AE31">
            <v>0.33</v>
          </cell>
          <cell r="AF31">
            <v>79.36</v>
          </cell>
          <cell r="AL31">
            <v>222.44</v>
          </cell>
          <cell r="AM31">
            <v>2.23</v>
          </cell>
          <cell r="AN31">
            <v>0.33</v>
          </cell>
          <cell r="AO31">
            <v>79.36</v>
          </cell>
          <cell r="AQ31">
            <v>9.08</v>
          </cell>
          <cell r="AT31">
            <v>90</v>
          </cell>
          <cell r="AU31">
            <v>70</v>
          </cell>
          <cell r="BA31">
            <v>20.78</v>
          </cell>
          <cell r="BB31">
            <v>7.79</v>
          </cell>
          <cell r="BC31">
            <v>6.22</v>
          </cell>
          <cell r="BO31" t="str">
            <v/>
          </cell>
          <cell r="BS31">
            <v>20.78</v>
          </cell>
          <cell r="BZ31">
            <v>90</v>
          </cell>
          <cell r="CA31">
            <v>70</v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I31" t="str">
            <v/>
          </cell>
          <cell r="DW31" t="str">
            <v>100 м2</v>
          </cell>
        </row>
        <row r="33">
          <cell r="E33" t="str">
            <v>5</v>
          </cell>
          <cell r="F33" t="str">
            <v>13-03-002-04</v>
          </cell>
          <cell r="G33" t="str">
            <v>Огрунтовка металлических поверхностей за один раз мастикой Вектор</v>
          </cell>
          <cell r="I33">
            <v>0.072</v>
          </cell>
          <cell r="P33">
            <v>90.79</v>
          </cell>
          <cell r="Q33">
            <v>5.17</v>
          </cell>
          <cell r="R33">
            <v>0.33</v>
          </cell>
          <cell r="S33">
            <v>84.61</v>
          </cell>
          <cell r="U33">
            <v>0.38231999999999994</v>
          </cell>
          <cell r="AC33">
            <v>202.72</v>
          </cell>
          <cell r="AD33">
            <v>9.22</v>
          </cell>
          <cell r="AE33">
            <v>0.22</v>
          </cell>
          <cell r="AF33">
            <v>56.55</v>
          </cell>
          <cell r="AL33">
            <v>202.72</v>
          </cell>
          <cell r="AM33">
            <v>9.22</v>
          </cell>
          <cell r="AN33">
            <v>0.22</v>
          </cell>
          <cell r="AO33">
            <v>56.55</v>
          </cell>
          <cell r="AQ33">
            <v>5.31</v>
          </cell>
          <cell r="AT33">
            <v>90</v>
          </cell>
          <cell r="AU33">
            <v>70</v>
          </cell>
          <cell r="BA33">
            <v>20.78</v>
          </cell>
          <cell r="BB33">
            <v>7.79</v>
          </cell>
          <cell r="BC33">
            <v>6.22</v>
          </cell>
          <cell r="BO33" t="str">
            <v/>
          </cell>
          <cell r="BS33">
            <v>20.78</v>
          </cell>
          <cell r="BZ33">
            <v>90</v>
          </cell>
          <cell r="CA33">
            <v>70</v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I33" t="str">
            <v/>
          </cell>
          <cell r="DW33" t="str">
            <v>100 м2</v>
          </cell>
        </row>
        <row r="35">
          <cell r="E35" t="str">
            <v>6</v>
          </cell>
          <cell r="F35" t="str">
            <v>13-03-004-21</v>
          </cell>
          <cell r="G35" t="str">
            <v>Окраска металлических огрунтованных поверхностей матикой Вектор</v>
          </cell>
          <cell r="I35">
            <v>0.072</v>
          </cell>
          <cell r="P35">
            <v>614.46</v>
          </cell>
          <cell r="Q35">
            <v>3.37</v>
          </cell>
          <cell r="R35">
            <v>0.33</v>
          </cell>
          <cell r="S35">
            <v>32.98</v>
          </cell>
          <cell r="U35">
            <v>0.17496</v>
          </cell>
          <cell r="AC35">
            <v>1372.06</v>
          </cell>
          <cell r="AD35">
            <v>6.01</v>
          </cell>
          <cell r="AE35">
            <v>0.22</v>
          </cell>
          <cell r="AF35">
            <v>22.04</v>
          </cell>
          <cell r="AL35">
            <v>1372.06</v>
          </cell>
          <cell r="AM35">
            <v>6.01</v>
          </cell>
          <cell r="AN35">
            <v>0.22</v>
          </cell>
          <cell r="AO35">
            <v>22.04</v>
          </cell>
          <cell r="AQ35">
            <v>2.43</v>
          </cell>
          <cell r="AT35">
            <v>90</v>
          </cell>
          <cell r="AU35">
            <v>70</v>
          </cell>
          <cell r="BA35">
            <v>20.78</v>
          </cell>
          <cell r="BB35">
            <v>7.79</v>
          </cell>
          <cell r="BC35">
            <v>6.22</v>
          </cell>
          <cell r="BO35" t="str">
            <v/>
          </cell>
          <cell r="BS35">
            <v>20.78</v>
          </cell>
          <cell r="BZ35">
            <v>90</v>
          </cell>
          <cell r="CA35">
            <v>70</v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I35" t="str">
            <v/>
          </cell>
          <cell r="DW35" t="str">
            <v>100 м2</v>
          </cell>
        </row>
        <row r="37">
          <cell r="E37" t="str">
            <v>7</v>
          </cell>
          <cell r="F37" t="str">
            <v/>
          </cell>
          <cell r="I37">
            <v>2</v>
          </cell>
          <cell r="P37">
            <v>11796.85</v>
          </cell>
          <cell r="U37">
            <v>0</v>
          </cell>
          <cell r="AC37">
            <v>948.3</v>
          </cell>
          <cell r="AL37">
            <v>948.3</v>
          </cell>
          <cell r="BC37">
            <v>6.22</v>
          </cell>
          <cell r="BO37" t="str">
            <v/>
          </cell>
          <cell r="DD37" t="str">
            <v/>
          </cell>
          <cell r="DW37" t="str">
            <v>шт.</v>
          </cell>
        </row>
        <row r="39">
          <cell r="E39" t="str">
            <v>9</v>
          </cell>
          <cell r="F39" t="str">
            <v/>
          </cell>
          <cell r="I39">
            <v>1</v>
          </cell>
          <cell r="P39">
            <v>295.82</v>
          </cell>
          <cell r="U39">
            <v>0</v>
          </cell>
          <cell r="AC39">
            <v>47.56</v>
          </cell>
          <cell r="AL39">
            <v>47.56</v>
          </cell>
          <cell r="BC39">
            <v>6.22</v>
          </cell>
          <cell r="BO39" t="str">
            <v/>
          </cell>
          <cell r="DD39" t="str">
            <v/>
          </cell>
          <cell r="DW39" t="str">
            <v>шт.</v>
          </cell>
        </row>
        <row r="41">
          <cell r="E41" t="str">
            <v>10</v>
          </cell>
          <cell r="F41" t="str">
            <v>26-01-003-01</v>
          </cell>
          <cell r="G41" t="str">
            <v>Изоляция трубопроводов цилиндрами и полуцилиндрами из минеральной ваты на синтетическом связующем</v>
          </cell>
          <cell r="I41">
            <v>0.88</v>
          </cell>
          <cell r="P41">
            <v>3211.09</v>
          </cell>
          <cell r="Q41">
            <v>197.64</v>
          </cell>
          <cell r="R41">
            <v>84.85</v>
          </cell>
          <cell r="S41">
            <v>3155.87</v>
          </cell>
          <cell r="U41">
            <v>16.544</v>
          </cell>
          <cell r="AC41">
            <v>586.65</v>
          </cell>
          <cell r="AD41">
            <v>28.83</v>
          </cell>
          <cell r="AE41">
            <v>4.64</v>
          </cell>
          <cell r="AF41">
            <v>172.58</v>
          </cell>
          <cell r="AL41">
            <v>586.65</v>
          </cell>
          <cell r="AM41">
            <v>28.83</v>
          </cell>
          <cell r="AN41">
            <v>4.64</v>
          </cell>
          <cell r="AO41">
            <v>172.58</v>
          </cell>
          <cell r="AQ41">
            <v>18.8</v>
          </cell>
          <cell r="AT41">
            <v>100</v>
          </cell>
          <cell r="AU41">
            <v>70</v>
          </cell>
          <cell r="BA41">
            <v>20.78</v>
          </cell>
          <cell r="BB41">
            <v>7.79</v>
          </cell>
          <cell r="BC41">
            <v>6.22</v>
          </cell>
          <cell r="BO41" t="str">
            <v/>
          </cell>
          <cell r="BS41">
            <v>20.78</v>
          </cell>
          <cell r="BZ41">
            <v>100</v>
          </cell>
          <cell r="CA41">
            <v>70</v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I41" t="str">
            <v/>
          </cell>
          <cell r="DW41" t="str">
            <v>м3</v>
          </cell>
        </row>
        <row r="43">
          <cell r="E43" t="str">
            <v>11</v>
          </cell>
          <cell r="F43" t="str">
            <v>12.2.08.03-0023</v>
          </cell>
          <cell r="G43" t="str">
            <v>Цилиндры и полуцилиндры теплоизоляционные из минваты на синтетическом связующем М-200, внутренним диаметром 18-57 мм</v>
          </cell>
          <cell r="I43">
            <v>0.88</v>
          </cell>
          <cell r="P43">
            <v>8985.63</v>
          </cell>
          <cell r="U43">
            <v>0</v>
          </cell>
          <cell r="AC43">
            <v>1641.63</v>
          </cell>
          <cell r="AL43">
            <v>1641.63</v>
          </cell>
          <cell r="BC43">
            <v>6.22</v>
          </cell>
          <cell r="BO43" t="str">
            <v/>
          </cell>
          <cell r="DD43" t="str">
            <v/>
          </cell>
          <cell r="DW43" t="str">
            <v>м3</v>
          </cell>
        </row>
        <row r="45">
          <cell r="E45" t="str">
            <v>12</v>
          </cell>
          <cell r="F45" t="str">
            <v>26-01-052-01</v>
          </cell>
          <cell r="G45" t="str">
            <v>Покрытие поверхности изоляции трубопроводов стеклопластиками РСТ, тканями стеклянными</v>
          </cell>
          <cell r="I45">
            <v>0.222</v>
          </cell>
          <cell r="P45">
            <v>6962.5</v>
          </cell>
          <cell r="Q45">
            <v>100.62</v>
          </cell>
          <cell r="R45">
            <v>37.46</v>
          </cell>
          <cell r="S45">
            <v>4702.1</v>
          </cell>
          <cell r="U45">
            <v>23.793960000000002</v>
          </cell>
          <cell r="AC45">
            <v>5042.22</v>
          </cell>
          <cell r="AD45">
            <v>58.18</v>
          </cell>
          <cell r="AE45">
            <v>8.12</v>
          </cell>
          <cell r="AF45">
            <v>1019.28</v>
          </cell>
          <cell r="AL45">
            <v>5042.22</v>
          </cell>
          <cell r="AM45">
            <v>58.18</v>
          </cell>
          <cell r="AN45">
            <v>8.12</v>
          </cell>
          <cell r="AO45">
            <v>1019.28</v>
          </cell>
          <cell r="AQ45">
            <v>107.18</v>
          </cell>
          <cell r="AT45">
            <v>100</v>
          </cell>
          <cell r="AU45">
            <v>70</v>
          </cell>
          <cell r="BA45">
            <v>20.78</v>
          </cell>
          <cell r="BB45">
            <v>7.79</v>
          </cell>
          <cell r="BC45">
            <v>6.22</v>
          </cell>
          <cell r="BO45" t="str">
            <v/>
          </cell>
          <cell r="BS45">
            <v>20.78</v>
          </cell>
          <cell r="BZ45">
            <v>100</v>
          </cell>
          <cell r="CA45">
            <v>70</v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I45" t="str">
            <v/>
          </cell>
          <cell r="DW45" t="str">
            <v>100 м2</v>
          </cell>
        </row>
        <row r="47">
          <cell r="E47" t="str">
            <v>13</v>
          </cell>
          <cell r="F47" t="str">
            <v>12.2.03.10-0010</v>
          </cell>
          <cell r="G47" t="str">
            <v>Стеклопластик рулонный марки РСТ 250 шириной 1м</v>
          </cell>
          <cell r="I47">
            <v>22.2</v>
          </cell>
          <cell r="P47">
            <v>1752.29</v>
          </cell>
          <cell r="U47">
            <v>0</v>
          </cell>
          <cell r="AC47">
            <v>12.69</v>
          </cell>
          <cell r="AL47">
            <v>12.69</v>
          </cell>
          <cell r="BC47">
            <v>6.22</v>
          </cell>
          <cell r="BO47" t="str">
            <v/>
          </cell>
          <cell r="DD47" t="str">
            <v/>
          </cell>
          <cell r="DW47" t="str">
            <v>м2</v>
          </cell>
        </row>
        <row r="51">
          <cell r="E51" t="str">
            <v>15</v>
          </cell>
          <cell r="F51" t="str">
            <v>м12-11-005-01</v>
          </cell>
          <cell r="G51" t="str">
            <v>Врезка трубопровода номинальным давлением 2,5 МПа в действующие магистрали, диаметр наружный врезаемой трубы 57 мм</v>
          </cell>
          <cell r="I51">
            <v>2</v>
          </cell>
          <cell r="P51">
            <v>107.61</v>
          </cell>
          <cell r="Q51">
            <v>42.85</v>
          </cell>
          <cell r="S51">
            <v>3394.62</v>
          </cell>
          <cell r="U51">
            <v>16</v>
          </cell>
          <cell r="AC51">
            <v>8.65</v>
          </cell>
          <cell r="AD51">
            <v>2.75</v>
          </cell>
          <cell r="AF51">
            <v>81.68</v>
          </cell>
          <cell r="AL51">
            <v>8.65</v>
          </cell>
          <cell r="AM51">
            <v>2.75</v>
          </cell>
          <cell r="AO51">
            <v>81.68</v>
          </cell>
          <cell r="AQ51">
            <v>8</v>
          </cell>
          <cell r="AT51">
            <v>80</v>
          </cell>
          <cell r="AU51">
            <v>60</v>
          </cell>
          <cell r="BA51">
            <v>20.78</v>
          </cell>
          <cell r="BB51">
            <v>7.79</v>
          </cell>
          <cell r="BC51">
            <v>6.22</v>
          </cell>
          <cell r="BO51" t="str">
            <v/>
          </cell>
          <cell r="BZ51">
            <v>80</v>
          </cell>
          <cell r="CA51">
            <v>60</v>
          </cell>
          <cell r="DD51" t="str">
            <v/>
          </cell>
          <cell r="DE51" t="str">
            <v/>
          </cell>
          <cell r="DG51" t="str">
            <v/>
          </cell>
          <cell r="DI51" t="str">
            <v/>
          </cell>
          <cell r="DW51" t="str">
            <v>ШТ</v>
          </cell>
        </row>
        <row r="53">
          <cell r="E53" t="str">
            <v>16</v>
          </cell>
          <cell r="F53" t="str">
            <v>22-03-001-05</v>
          </cell>
          <cell r="G53" t="str">
            <v>Установка фасонных частей стальных сварных диаметром 100-250 мм</v>
          </cell>
          <cell r="I53">
            <v>0.0056</v>
          </cell>
          <cell r="P53">
            <v>221.12</v>
          </cell>
          <cell r="Q53">
            <v>609.18</v>
          </cell>
          <cell r="R53">
            <v>165.02</v>
          </cell>
          <cell r="S53">
            <v>456.59</v>
          </cell>
          <cell r="U53">
            <v>1.9812800000000002</v>
          </cell>
          <cell r="AC53">
            <v>6348.16</v>
          </cell>
          <cell r="AD53">
            <v>13964.25</v>
          </cell>
          <cell r="AE53">
            <v>1418.06</v>
          </cell>
          <cell r="AF53">
            <v>3923.64</v>
          </cell>
          <cell r="AL53">
            <v>6348.16</v>
          </cell>
          <cell r="AM53">
            <v>13964.25</v>
          </cell>
          <cell r="AN53">
            <v>1418.06</v>
          </cell>
          <cell r="AO53">
            <v>3923.64</v>
          </cell>
          <cell r="AQ53">
            <v>353.8</v>
          </cell>
          <cell r="AT53">
            <v>130</v>
          </cell>
          <cell r="AU53">
            <v>89</v>
          </cell>
          <cell r="BA53">
            <v>20.78</v>
          </cell>
          <cell r="BB53">
            <v>7.79</v>
          </cell>
          <cell r="BC53">
            <v>6.22</v>
          </cell>
          <cell r="BO53" t="str">
            <v/>
          </cell>
          <cell r="BS53">
            <v>20.78</v>
          </cell>
          <cell r="BZ53">
            <v>130</v>
          </cell>
          <cell r="CA53">
            <v>89</v>
          </cell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I53" t="str">
            <v/>
          </cell>
          <cell r="DW53" t="str">
            <v>т</v>
          </cell>
        </row>
        <row r="55">
          <cell r="E55" t="str">
            <v>17</v>
          </cell>
          <cell r="F55" t="str">
            <v>23.8.04.06-0064</v>
          </cell>
          <cell r="G55" t="str">
            <v>Отводы 90 град. с радиусом кривизны R=1,5 Ду на Ру до 16 МПа (160 кгс/см2), диаметром условного прохода 50 мм, наружным диаметром 57 мм, толщиной стенки 4 мм</v>
          </cell>
          <cell r="I55">
            <v>8</v>
          </cell>
          <cell r="P55">
            <v>1344.52</v>
          </cell>
          <cell r="U55">
            <v>0</v>
          </cell>
          <cell r="AC55">
            <v>27.02</v>
          </cell>
          <cell r="AL55">
            <v>27.02</v>
          </cell>
          <cell r="BC55">
            <v>6.22</v>
          </cell>
          <cell r="BO55" t="str">
            <v/>
          </cell>
          <cell r="DD55" t="str">
            <v/>
          </cell>
          <cell r="DW55" t="str">
            <v>шт.</v>
          </cell>
        </row>
        <row r="57">
          <cell r="E57" t="str">
            <v>18</v>
          </cell>
          <cell r="F57" t="str">
            <v>52-5-1</v>
          </cell>
          <cell r="G57" t="str">
            <v>Устройство кирпичных столбчатых фундаментов</v>
          </cell>
          <cell r="I57">
            <v>0.4</v>
          </cell>
          <cell r="P57">
            <v>313.04</v>
          </cell>
          <cell r="Q57">
            <v>2.06</v>
          </cell>
          <cell r="R57">
            <v>1</v>
          </cell>
          <cell r="S57">
            <v>927.62</v>
          </cell>
          <cell r="U57">
            <v>5.464</v>
          </cell>
          <cell r="AC57">
            <v>125.82</v>
          </cell>
          <cell r="AD57">
            <v>0.66</v>
          </cell>
          <cell r="AE57">
            <v>0.12</v>
          </cell>
          <cell r="AF57">
            <v>111.6</v>
          </cell>
          <cell r="AL57">
            <v>125.82</v>
          </cell>
          <cell r="AM57">
            <v>0.66</v>
          </cell>
          <cell r="AN57">
            <v>0.12</v>
          </cell>
          <cell r="AO57">
            <v>111.6</v>
          </cell>
          <cell r="AQ57">
            <v>13.66</v>
          </cell>
          <cell r="AT57">
            <v>93</v>
          </cell>
          <cell r="AU57">
            <v>75</v>
          </cell>
          <cell r="BA57">
            <v>20.78</v>
          </cell>
          <cell r="BB57">
            <v>7.79</v>
          </cell>
          <cell r="BC57">
            <v>6.22</v>
          </cell>
          <cell r="BO57" t="str">
            <v/>
          </cell>
          <cell r="BS57">
            <v>20.78</v>
          </cell>
          <cell r="BZ57">
            <v>93</v>
          </cell>
          <cell r="CA57">
            <v>75</v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I57" t="str">
            <v/>
          </cell>
          <cell r="DW57" t="str">
            <v>м3</v>
          </cell>
        </row>
        <row r="59">
          <cell r="E59" t="str">
            <v>19</v>
          </cell>
          <cell r="F59" t="str">
            <v>06.1.01.05-0037</v>
          </cell>
          <cell r="G59" t="str">
            <v>Кирпич керамический одинарный, размером 250х120х65 мм, марка 150</v>
          </cell>
          <cell r="I59">
            <v>0.158</v>
          </cell>
          <cell r="P59">
            <v>1992.05</v>
          </cell>
          <cell r="U59">
            <v>0</v>
          </cell>
          <cell r="AC59">
            <v>2027</v>
          </cell>
          <cell r="AL59">
            <v>2027</v>
          </cell>
          <cell r="BC59">
            <v>6.22</v>
          </cell>
          <cell r="BO59" t="str">
            <v/>
          </cell>
          <cell r="DD59" t="str">
            <v/>
          </cell>
          <cell r="DW59" t="str">
            <v>1000 шт.</v>
          </cell>
        </row>
        <row r="61">
          <cell r="E61" t="str">
            <v>20</v>
          </cell>
          <cell r="F61" t="str">
            <v>09-03-039-01</v>
          </cell>
          <cell r="G61" t="str">
            <v>Монтаж опорных конструкций для крепления трубопроводов внутри зданий и сооружений массой до 0,1 т</v>
          </cell>
          <cell r="I61">
            <v>0.04</v>
          </cell>
          <cell r="P61">
            <v>59.26</v>
          </cell>
          <cell r="Q61">
            <v>89.74</v>
          </cell>
          <cell r="R61">
            <v>2.78</v>
          </cell>
          <cell r="S61">
            <v>604.78</v>
          </cell>
          <cell r="U61">
            <v>3.2088</v>
          </cell>
          <cell r="AC61">
            <v>238.17</v>
          </cell>
          <cell r="AD61">
            <v>287.99</v>
          </cell>
          <cell r="AE61">
            <v>3.35</v>
          </cell>
          <cell r="AF61">
            <v>727.6</v>
          </cell>
          <cell r="AL61">
            <v>238.17</v>
          </cell>
          <cell r="AM61">
            <v>287.99</v>
          </cell>
          <cell r="AN61">
            <v>3.35</v>
          </cell>
          <cell r="AO61">
            <v>727.6</v>
          </cell>
          <cell r="AQ61">
            <v>80.22</v>
          </cell>
          <cell r="AT61">
            <v>90</v>
          </cell>
          <cell r="AU61">
            <v>85</v>
          </cell>
          <cell r="BA61">
            <v>20.78</v>
          </cell>
          <cell r="BB61">
            <v>7.79</v>
          </cell>
          <cell r="BC61">
            <v>6.22</v>
          </cell>
          <cell r="BO61" t="str">
            <v/>
          </cell>
          <cell r="BS61">
            <v>20.78</v>
          </cell>
          <cell r="BZ61">
            <v>90</v>
          </cell>
          <cell r="CA61">
            <v>85</v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I61" t="str">
            <v/>
          </cell>
          <cell r="DW61" t="str">
            <v>т</v>
          </cell>
        </row>
        <row r="63">
          <cell r="E63" t="str">
            <v>21</v>
          </cell>
          <cell r="F63" t="str">
            <v>08.4.01.02-0013</v>
          </cell>
          <cell r="G63" t="str">
            <v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v>
          </cell>
          <cell r="I63">
            <v>0.04</v>
          </cell>
          <cell r="P63">
            <v>1691.84</v>
          </cell>
          <cell r="U63">
            <v>0</v>
          </cell>
          <cell r="AC63">
            <v>6800</v>
          </cell>
          <cell r="AL63">
            <v>6800</v>
          </cell>
          <cell r="BC63">
            <v>6.22</v>
          </cell>
          <cell r="BO63" t="str">
            <v/>
          </cell>
          <cell r="DD63" t="str">
            <v/>
          </cell>
          <cell r="DW63" t="str">
            <v>т</v>
          </cell>
        </row>
        <row r="65">
          <cell r="G65" t="str">
            <v>Новая локальная смета</v>
          </cell>
        </row>
        <row r="93">
          <cell r="H93" t="str">
            <v>Итого</v>
          </cell>
          <cell r="P93">
            <v>109916.6</v>
          </cell>
        </row>
        <row r="94">
          <cell r="H94" t="str">
            <v>НДС 20%</v>
          </cell>
          <cell r="P94">
            <v>21983.32</v>
          </cell>
        </row>
        <row r="95">
          <cell r="H95" t="str">
            <v>Всего</v>
          </cell>
          <cell r="P95">
            <v>131899.92</v>
          </cell>
        </row>
        <row r="111">
          <cell r="P111">
            <v>1071.11</v>
          </cell>
        </row>
        <row r="112">
          <cell r="P112">
            <v>18456.07</v>
          </cell>
        </row>
        <row r="114">
          <cell r="P114">
            <v>101619.05</v>
          </cell>
        </row>
        <row r="115">
          <cell r="P115">
            <v>8297.55</v>
          </cell>
        </row>
        <row r="119">
          <cell r="P119">
            <v>93.56307999999999</v>
          </cell>
        </row>
        <row r="120">
          <cell r="P120">
            <v>4.245599999999999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9">
      <selection activeCell="A26" sqref="A26:IV26"/>
    </sheetView>
  </sheetViews>
  <sheetFormatPr defaultColWidth="9.140625" defaultRowHeight="15"/>
  <cols>
    <col min="1" max="1" width="17.7109375" style="52" customWidth="1"/>
    <col min="2" max="2" width="90.00390625" style="52" customWidth="1"/>
    <col min="3" max="3" width="5.8515625" style="53" customWidth="1"/>
    <col min="4" max="4" width="7.00390625" style="53" hidden="1" customWidth="1"/>
    <col min="5" max="6" width="7.28125" style="52" hidden="1" customWidth="1"/>
    <col min="7" max="7" width="8.57421875" style="52" hidden="1" customWidth="1"/>
    <col min="8" max="8" width="8.140625" style="52" hidden="1" customWidth="1"/>
    <col min="9" max="10" width="7.28125" style="52" hidden="1" customWidth="1"/>
    <col min="11" max="11" width="7.00390625" style="52" hidden="1" customWidth="1"/>
    <col min="12" max="12" width="8.57421875" style="52" hidden="1" customWidth="1"/>
    <col min="13" max="13" width="5.57421875" style="53" customWidth="1"/>
    <col min="14" max="14" width="8.421875" style="52" customWidth="1"/>
    <col min="15" max="15" width="7.7109375" style="52" customWidth="1"/>
    <col min="16" max="16" width="7.421875" style="52" customWidth="1"/>
    <col min="17" max="17" width="7.7109375" style="52" customWidth="1"/>
    <col min="18" max="18" width="7.8515625" style="52" customWidth="1"/>
    <col min="19" max="19" width="8.00390625" style="52" customWidth="1"/>
    <col min="20" max="20" width="7.8515625" style="52" customWidth="1"/>
    <col min="21" max="22" width="7.7109375" style="52" customWidth="1"/>
    <col min="23" max="16384" width="9.140625" style="52" customWidth="1"/>
  </cols>
  <sheetData>
    <row r="1" spans="1:22" s="54" customFormat="1" ht="16.5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55" customFormat="1" ht="17.25" customHeight="1">
      <c r="A2" s="81" t="s">
        <v>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54" customFormat="1" ht="15" customHeight="1">
      <c r="A3" s="84" t="s">
        <v>14</v>
      </c>
      <c r="B3" s="84" t="s">
        <v>13</v>
      </c>
      <c r="C3" s="84" t="s">
        <v>11</v>
      </c>
      <c r="D3" s="87" t="s">
        <v>10</v>
      </c>
      <c r="E3" s="88"/>
      <c r="F3" s="88"/>
      <c r="G3" s="88"/>
      <c r="H3" s="88"/>
      <c r="I3" s="88"/>
      <c r="J3" s="88"/>
      <c r="K3" s="88"/>
      <c r="L3" s="89"/>
      <c r="M3" s="84" t="s">
        <v>12</v>
      </c>
      <c r="N3" s="87" t="s">
        <v>10</v>
      </c>
      <c r="O3" s="88"/>
      <c r="P3" s="88"/>
      <c r="Q3" s="88"/>
      <c r="R3" s="88"/>
      <c r="S3" s="88"/>
      <c r="T3" s="88"/>
      <c r="U3" s="88"/>
      <c r="V3" s="89"/>
    </row>
    <row r="4" spans="1:22" s="54" customFormat="1" ht="15">
      <c r="A4" s="85"/>
      <c r="B4" s="85"/>
      <c r="C4" s="85"/>
      <c r="D4" s="57">
        <v>15</v>
      </c>
      <c r="E4" s="58">
        <v>20</v>
      </c>
      <c r="F4" s="58">
        <v>25</v>
      </c>
      <c r="G4" s="58">
        <v>32</v>
      </c>
      <c r="H4" s="58">
        <v>40</v>
      </c>
      <c r="I4" s="58">
        <v>50</v>
      </c>
      <c r="J4" s="58">
        <v>65</v>
      </c>
      <c r="K4" s="58">
        <v>80</v>
      </c>
      <c r="L4" s="58">
        <v>100</v>
      </c>
      <c r="M4" s="85"/>
      <c r="N4" s="57">
        <v>15</v>
      </c>
      <c r="O4" s="58">
        <v>20</v>
      </c>
      <c r="P4" s="58">
        <v>25</v>
      </c>
      <c r="Q4" s="58">
        <v>32</v>
      </c>
      <c r="R4" s="59">
        <v>40</v>
      </c>
      <c r="S4" s="58">
        <v>50</v>
      </c>
      <c r="T4" s="58">
        <v>65</v>
      </c>
      <c r="U4" s="58">
        <v>80</v>
      </c>
      <c r="V4" s="58">
        <v>100</v>
      </c>
    </row>
    <row r="5" spans="1:22" s="54" customFormat="1" ht="15">
      <c r="A5" s="56"/>
      <c r="B5" s="56" t="s">
        <v>20</v>
      </c>
      <c r="C5" s="56"/>
      <c r="D5" s="60" t="s">
        <v>21</v>
      </c>
      <c r="E5" s="61" t="s">
        <v>22</v>
      </c>
      <c r="F5" s="61" t="s">
        <v>23</v>
      </c>
      <c r="G5" s="61" t="s">
        <v>24</v>
      </c>
      <c r="H5" s="61" t="s">
        <v>25</v>
      </c>
      <c r="I5" s="61" t="s">
        <v>27</v>
      </c>
      <c r="J5" s="61" t="s">
        <v>28</v>
      </c>
      <c r="K5" s="61" t="s">
        <v>29</v>
      </c>
      <c r="L5" s="61" t="s">
        <v>30</v>
      </c>
      <c r="M5" s="56"/>
      <c r="N5" s="62" t="s">
        <v>21</v>
      </c>
      <c r="O5" s="63" t="s">
        <v>22</v>
      </c>
      <c r="P5" s="63" t="s">
        <v>23</v>
      </c>
      <c r="Q5" s="63" t="s">
        <v>24</v>
      </c>
      <c r="R5" s="59" t="s">
        <v>25</v>
      </c>
      <c r="S5" s="63" t="s">
        <v>27</v>
      </c>
      <c r="T5" s="63" t="s">
        <v>28</v>
      </c>
      <c r="U5" s="63" t="s">
        <v>29</v>
      </c>
      <c r="V5" s="63" t="s">
        <v>30</v>
      </c>
    </row>
    <row r="6" spans="1:22" s="54" customFormat="1" ht="15">
      <c r="A6" s="63" t="s">
        <v>2</v>
      </c>
      <c r="B6" s="64" t="s">
        <v>42</v>
      </c>
      <c r="C6" s="65" t="s">
        <v>6</v>
      </c>
      <c r="D6" s="66">
        <v>18850</v>
      </c>
      <c r="E6" s="61">
        <v>19000</v>
      </c>
      <c r="F6" s="61">
        <v>19500</v>
      </c>
      <c r="G6" s="61">
        <v>20500</v>
      </c>
      <c r="H6" s="61">
        <v>21300</v>
      </c>
      <c r="I6" s="61">
        <v>23000</v>
      </c>
      <c r="J6" s="61">
        <v>26500</v>
      </c>
      <c r="K6" s="61">
        <v>29400</v>
      </c>
      <c r="L6" s="61">
        <v>32900</v>
      </c>
      <c r="M6" s="65">
        <v>2</v>
      </c>
      <c r="N6" s="67">
        <f>D6*M6*1.2</f>
        <v>45240</v>
      </c>
      <c r="O6" s="63">
        <f>E6*M6*1.2</f>
        <v>45600</v>
      </c>
      <c r="P6" s="63">
        <f>F6*M6*1.2</f>
        <v>46800</v>
      </c>
      <c r="Q6" s="63">
        <f>G6*M6*1.2</f>
        <v>49200</v>
      </c>
      <c r="R6" s="59">
        <f>H6*M6*1.2</f>
        <v>51120</v>
      </c>
      <c r="S6" s="63">
        <f>I6*M6*1.2</f>
        <v>55200</v>
      </c>
      <c r="T6" s="63">
        <f>J6*M6*1.2</f>
        <v>63600</v>
      </c>
      <c r="U6" s="63">
        <f>K6*M6*1.2</f>
        <v>70560</v>
      </c>
      <c r="V6" s="63">
        <f>L6*M6*1.2</f>
        <v>78960</v>
      </c>
    </row>
    <row r="7" spans="1:22" s="54" customFormat="1" ht="15">
      <c r="A7" s="63" t="s">
        <v>2</v>
      </c>
      <c r="B7" s="64" t="s">
        <v>35</v>
      </c>
      <c r="C7" s="65" t="s">
        <v>6</v>
      </c>
      <c r="D7" s="68">
        <f>2000</f>
        <v>2000</v>
      </c>
      <c r="E7" s="68">
        <f>2000</f>
        <v>2000</v>
      </c>
      <c r="F7" s="68">
        <f>2000</f>
        <v>2000</v>
      </c>
      <c r="G7" s="68">
        <f>2000</f>
        <v>2000</v>
      </c>
      <c r="H7" s="68">
        <f>2000</f>
        <v>2000</v>
      </c>
      <c r="I7" s="68">
        <f>2000</f>
        <v>2000</v>
      </c>
      <c r="J7" s="68">
        <f>2000</f>
        <v>2000</v>
      </c>
      <c r="K7" s="68">
        <f>2000</f>
        <v>2000</v>
      </c>
      <c r="L7" s="68">
        <f>2000</f>
        <v>2000</v>
      </c>
      <c r="M7" s="65">
        <v>2</v>
      </c>
      <c r="N7" s="67">
        <f>D7*M7*1.2</f>
        <v>4800</v>
      </c>
      <c r="O7" s="63">
        <f>E7*M7*1.2</f>
        <v>4800</v>
      </c>
      <c r="P7" s="63">
        <f>F7*M7*1.2</f>
        <v>4800</v>
      </c>
      <c r="Q7" s="63">
        <f>G7*M7*1.2</f>
        <v>4800</v>
      </c>
      <c r="R7" s="59">
        <f>H7*M7*1.2</f>
        <v>4800</v>
      </c>
      <c r="S7" s="63">
        <f>I7*M7*1.2</f>
        <v>4800</v>
      </c>
      <c r="T7" s="63">
        <f>J7*M7*1.2</f>
        <v>4800</v>
      </c>
      <c r="U7" s="63">
        <f>K7*M7*1.2</f>
        <v>4800</v>
      </c>
      <c r="V7" s="63">
        <f>L7*M7*1.2</f>
        <v>4800</v>
      </c>
    </row>
    <row r="8" spans="1:22" s="54" customFormat="1" ht="15">
      <c r="A8" s="63" t="s">
        <v>2</v>
      </c>
      <c r="B8" s="64" t="s">
        <v>41</v>
      </c>
      <c r="C8" s="65" t="s">
        <v>6</v>
      </c>
      <c r="D8" s="68">
        <v>6000</v>
      </c>
      <c r="E8" s="68">
        <v>6100</v>
      </c>
      <c r="F8" s="68">
        <v>6400</v>
      </c>
      <c r="G8" s="68">
        <v>6700</v>
      </c>
      <c r="H8" s="68">
        <v>7500</v>
      </c>
      <c r="I8" s="68">
        <v>8700</v>
      </c>
      <c r="J8" s="68">
        <v>10000</v>
      </c>
      <c r="K8" s="68">
        <v>129600</v>
      </c>
      <c r="L8" s="68">
        <v>17700</v>
      </c>
      <c r="M8" s="65">
        <v>2</v>
      </c>
      <c r="N8" s="67">
        <f aca="true" t="shared" si="0" ref="N8:N25">D8*M8</f>
        <v>12000</v>
      </c>
      <c r="O8" s="63">
        <f aca="true" t="shared" si="1" ref="O8:O25">E8*M8</f>
        <v>12200</v>
      </c>
      <c r="P8" s="63">
        <f aca="true" t="shared" si="2" ref="P8:P25">F8*M8</f>
        <v>12800</v>
      </c>
      <c r="Q8" s="63">
        <f aca="true" t="shared" si="3" ref="Q8:Q25">G8*M8</f>
        <v>13400</v>
      </c>
      <c r="R8" s="59">
        <f aca="true" t="shared" si="4" ref="R8:R25">H8*M8</f>
        <v>15000</v>
      </c>
      <c r="S8" s="63">
        <f aca="true" t="shared" si="5" ref="S8:S25">I8*M8</f>
        <v>17400</v>
      </c>
      <c r="T8" s="63">
        <f aca="true" t="shared" si="6" ref="T8:T25">J8*M8</f>
        <v>20000</v>
      </c>
      <c r="U8" s="63">
        <f aca="true" t="shared" si="7" ref="U8:U25">K8*M8</f>
        <v>259200</v>
      </c>
      <c r="V8" s="63">
        <f aca="true" t="shared" si="8" ref="V8:V25">L8*M8</f>
        <v>35400</v>
      </c>
    </row>
    <row r="9" spans="1:22" s="54" customFormat="1" ht="15">
      <c r="A9" s="63" t="s">
        <v>1</v>
      </c>
      <c r="B9" s="64" t="s">
        <v>90</v>
      </c>
      <c r="C9" s="65" t="s">
        <v>6</v>
      </c>
      <c r="D9" s="61">
        <v>4900</v>
      </c>
      <c r="E9" s="61">
        <v>4900</v>
      </c>
      <c r="F9" s="61">
        <v>4900</v>
      </c>
      <c r="G9" s="61">
        <v>4900</v>
      </c>
      <c r="H9" s="61">
        <v>6500</v>
      </c>
      <c r="I9" s="61">
        <v>7000</v>
      </c>
      <c r="J9" s="61">
        <v>12000</v>
      </c>
      <c r="K9" s="61">
        <v>15000</v>
      </c>
      <c r="L9" s="61">
        <v>20000</v>
      </c>
      <c r="M9" s="65">
        <v>4</v>
      </c>
      <c r="N9" s="67">
        <f t="shared" si="0"/>
        <v>19600</v>
      </c>
      <c r="O9" s="63">
        <f t="shared" si="1"/>
        <v>19600</v>
      </c>
      <c r="P9" s="63">
        <f t="shared" si="2"/>
        <v>19600</v>
      </c>
      <c r="Q9" s="63">
        <f t="shared" si="3"/>
        <v>19600</v>
      </c>
      <c r="R9" s="59">
        <f t="shared" si="4"/>
        <v>26000</v>
      </c>
      <c r="S9" s="63">
        <f t="shared" si="5"/>
        <v>28000</v>
      </c>
      <c r="T9" s="63">
        <f t="shared" si="6"/>
        <v>48000</v>
      </c>
      <c r="U9" s="63">
        <f t="shared" si="7"/>
        <v>60000</v>
      </c>
      <c r="V9" s="63">
        <f t="shared" si="8"/>
        <v>80000</v>
      </c>
    </row>
    <row r="10" spans="1:22" s="54" customFormat="1" ht="15">
      <c r="A10" s="63" t="s">
        <v>1</v>
      </c>
      <c r="B10" s="64" t="s">
        <v>36</v>
      </c>
      <c r="C10" s="65" t="s">
        <v>6</v>
      </c>
      <c r="D10" s="66">
        <v>1700</v>
      </c>
      <c r="E10" s="66">
        <v>1700</v>
      </c>
      <c r="F10" s="66">
        <v>1700</v>
      </c>
      <c r="G10" s="61">
        <v>2500</v>
      </c>
      <c r="H10" s="61">
        <v>2500</v>
      </c>
      <c r="I10" s="61">
        <v>2500</v>
      </c>
      <c r="J10" s="61">
        <v>3300</v>
      </c>
      <c r="K10" s="61">
        <v>3300</v>
      </c>
      <c r="L10" s="61">
        <v>3300</v>
      </c>
      <c r="M10" s="65">
        <v>2</v>
      </c>
      <c r="N10" s="67">
        <f t="shared" si="0"/>
        <v>3400</v>
      </c>
      <c r="O10" s="63">
        <f t="shared" si="1"/>
        <v>3400</v>
      </c>
      <c r="P10" s="63">
        <f t="shared" si="2"/>
        <v>3400</v>
      </c>
      <c r="Q10" s="63">
        <f t="shared" si="3"/>
        <v>5000</v>
      </c>
      <c r="R10" s="59">
        <f t="shared" si="4"/>
        <v>5000</v>
      </c>
      <c r="S10" s="63">
        <f t="shared" si="5"/>
        <v>5000</v>
      </c>
      <c r="T10" s="63">
        <f t="shared" si="6"/>
        <v>6600</v>
      </c>
      <c r="U10" s="63">
        <f t="shared" si="7"/>
        <v>6600</v>
      </c>
      <c r="V10" s="63">
        <f t="shared" si="8"/>
        <v>6600</v>
      </c>
    </row>
    <row r="11" spans="1:22" s="54" customFormat="1" ht="15">
      <c r="A11" s="63" t="s">
        <v>2</v>
      </c>
      <c r="B11" s="64" t="s">
        <v>32</v>
      </c>
      <c r="C11" s="65" t="s">
        <v>6</v>
      </c>
      <c r="D11" s="61">
        <v>2200</v>
      </c>
      <c r="E11" s="61">
        <v>2200</v>
      </c>
      <c r="F11" s="61">
        <v>2200</v>
      </c>
      <c r="G11" s="61">
        <v>2200</v>
      </c>
      <c r="H11" s="61">
        <v>2200</v>
      </c>
      <c r="I11" s="61">
        <v>2200</v>
      </c>
      <c r="J11" s="61">
        <v>2200</v>
      </c>
      <c r="K11" s="61">
        <v>2200</v>
      </c>
      <c r="L11" s="61">
        <v>2200</v>
      </c>
      <c r="M11" s="65">
        <v>1</v>
      </c>
      <c r="N11" s="67">
        <f>D11*M11*1.2</f>
        <v>2640</v>
      </c>
      <c r="O11" s="63">
        <f>E11*M11*1.2</f>
        <v>2640</v>
      </c>
      <c r="P11" s="63">
        <f>F11*M11*1.2</f>
        <v>2640</v>
      </c>
      <c r="Q11" s="63">
        <f>G11*M11*1.2</f>
        <v>2640</v>
      </c>
      <c r="R11" s="59">
        <f>H11*M11*1.2</f>
        <v>2640</v>
      </c>
      <c r="S11" s="63">
        <f>I11*M11*1.2</f>
        <v>2640</v>
      </c>
      <c r="T11" s="63">
        <f>J11*M11*1.2</f>
        <v>2640</v>
      </c>
      <c r="U11" s="63">
        <f>K11*M11*1.2</f>
        <v>2640</v>
      </c>
      <c r="V11" s="63">
        <f>L11*M11*1.2</f>
        <v>2640</v>
      </c>
    </row>
    <row r="12" spans="1:22" s="54" customFormat="1" ht="15">
      <c r="A12" s="63" t="s">
        <v>1</v>
      </c>
      <c r="B12" s="64" t="s">
        <v>91</v>
      </c>
      <c r="C12" s="65" t="s">
        <v>6</v>
      </c>
      <c r="D12" s="63">
        <v>4400</v>
      </c>
      <c r="E12" s="63">
        <v>4400</v>
      </c>
      <c r="F12" s="63">
        <v>4400</v>
      </c>
      <c r="G12" s="63">
        <v>4400</v>
      </c>
      <c r="H12" s="63">
        <v>4700</v>
      </c>
      <c r="I12" s="61">
        <v>5200</v>
      </c>
      <c r="J12" s="61">
        <v>5800</v>
      </c>
      <c r="K12" s="61">
        <v>8000</v>
      </c>
      <c r="L12" s="61">
        <v>8200</v>
      </c>
      <c r="M12" s="65">
        <v>2</v>
      </c>
      <c r="N12" s="67">
        <f t="shared" si="0"/>
        <v>8800</v>
      </c>
      <c r="O12" s="63">
        <f t="shared" si="1"/>
        <v>8800</v>
      </c>
      <c r="P12" s="63">
        <f t="shared" si="2"/>
        <v>8800</v>
      </c>
      <c r="Q12" s="63">
        <f t="shared" si="3"/>
        <v>8800</v>
      </c>
      <c r="R12" s="59">
        <f t="shared" si="4"/>
        <v>9400</v>
      </c>
      <c r="S12" s="63">
        <f t="shared" si="5"/>
        <v>10400</v>
      </c>
      <c r="T12" s="63">
        <f t="shared" si="6"/>
        <v>11600</v>
      </c>
      <c r="U12" s="63">
        <f t="shared" si="7"/>
        <v>16000</v>
      </c>
      <c r="V12" s="63">
        <f t="shared" si="8"/>
        <v>16400</v>
      </c>
    </row>
    <row r="13" spans="1:22" s="54" customFormat="1" ht="15">
      <c r="A13" s="63" t="s">
        <v>1</v>
      </c>
      <c r="B13" s="64" t="s">
        <v>39</v>
      </c>
      <c r="C13" s="65" t="s">
        <v>6</v>
      </c>
      <c r="D13" s="61">
        <v>320</v>
      </c>
      <c r="E13" s="61">
        <v>320</v>
      </c>
      <c r="F13" s="61">
        <v>320</v>
      </c>
      <c r="G13" s="61">
        <v>320</v>
      </c>
      <c r="H13" s="61">
        <v>350</v>
      </c>
      <c r="I13" s="61">
        <v>375</v>
      </c>
      <c r="J13" s="61">
        <v>450</v>
      </c>
      <c r="K13" s="61">
        <v>650</v>
      </c>
      <c r="L13" s="61">
        <v>800</v>
      </c>
      <c r="M13" s="65">
        <v>4</v>
      </c>
      <c r="N13" s="67">
        <f t="shared" si="0"/>
        <v>1280</v>
      </c>
      <c r="O13" s="63">
        <f t="shared" si="1"/>
        <v>1280</v>
      </c>
      <c r="P13" s="63">
        <f t="shared" si="2"/>
        <v>1280</v>
      </c>
      <c r="Q13" s="63">
        <f t="shared" si="3"/>
        <v>1280</v>
      </c>
      <c r="R13" s="59">
        <f t="shared" si="4"/>
        <v>1400</v>
      </c>
      <c r="S13" s="63">
        <f t="shared" si="5"/>
        <v>1500</v>
      </c>
      <c r="T13" s="63">
        <f t="shared" si="6"/>
        <v>1800</v>
      </c>
      <c r="U13" s="63">
        <f t="shared" si="7"/>
        <v>2600</v>
      </c>
      <c r="V13" s="63">
        <f t="shared" si="8"/>
        <v>3200</v>
      </c>
    </row>
    <row r="14" spans="1:22" s="54" customFormat="1" ht="15">
      <c r="A14" s="63" t="s">
        <v>4</v>
      </c>
      <c r="B14" s="64" t="s">
        <v>3</v>
      </c>
      <c r="C14" s="65" t="s">
        <v>5</v>
      </c>
      <c r="D14" s="65">
        <v>200</v>
      </c>
      <c r="E14" s="63">
        <v>200</v>
      </c>
      <c r="F14" s="63">
        <v>250</v>
      </c>
      <c r="G14" s="63">
        <v>320</v>
      </c>
      <c r="H14" s="63">
        <v>400</v>
      </c>
      <c r="I14" s="63">
        <v>500</v>
      </c>
      <c r="J14" s="63">
        <v>700</v>
      </c>
      <c r="K14" s="63">
        <v>800</v>
      </c>
      <c r="L14" s="63">
        <v>1000</v>
      </c>
      <c r="M14" s="65">
        <v>1</v>
      </c>
      <c r="N14" s="67">
        <f t="shared" si="0"/>
        <v>200</v>
      </c>
      <c r="O14" s="63">
        <f t="shared" si="1"/>
        <v>200</v>
      </c>
      <c r="P14" s="63">
        <f t="shared" si="2"/>
        <v>250</v>
      </c>
      <c r="Q14" s="63">
        <f t="shared" si="3"/>
        <v>320</v>
      </c>
      <c r="R14" s="59">
        <f t="shared" si="4"/>
        <v>400</v>
      </c>
      <c r="S14" s="63">
        <f t="shared" si="5"/>
        <v>500</v>
      </c>
      <c r="T14" s="63">
        <f t="shared" si="6"/>
        <v>700</v>
      </c>
      <c r="U14" s="63">
        <f t="shared" si="7"/>
        <v>800</v>
      </c>
      <c r="V14" s="63">
        <f t="shared" si="8"/>
        <v>1000</v>
      </c>
    </row>
    <row r="15" spans="1:22" s="54" customFormat="1" ht="15">
      <c r="A15" s="63" t="s">
        <v>2</v>
      </c>
      <c r="B15" s="64" t="s">
        <v>33</v>
      </c>
      <c r="C15" s="65" t="s">
        <v>6</v>
      </c>
      <c r="D15" s="68">
        <v>13000</v>
      </c>
      <c r="E15" s="68">
        <v>13000</v>
      </c>
      <c r="F15" s="68">
        <v>13000</v>
      </c>
      <c r="G15" s="68">
        <v>13000</v>
      </c>
      <c r="H15" s="68">
        <v>13000</v>
      </c>
      <c r="I15" s="68">
        <v>13000</v>
      </c>
      <c r="J15" s="68">
        <v>13000</v>
      </c>
      <c r="K15" s="68">
        <v>13000</v>
      </c>
      <c r="L15" s="68">
        <v>13000</v>
      </c>
      <c r="M15" s="65">
        <v>1</v>
      </c>
      <c r="N15" s="67">
        <f>D15*M15*1.2</f>
        <v>15600</v>
      </c>
      <c r="O15" s="63">
        <f>E15*M15*1.2</f>
        <v>15600</v>
      </c>
      <c r="P15" s="63">
        <f>F15*M15*1.2</f>
        <v>15600</v>
      </c>
      <c r="Q15" s="63">
        <f>G15*M15*1.2</f>
        <v>15600</v>
      </c>
      <c r="R15" s="59">
        <f>H15*M15*1.2</f>
        <v>15600</v>
      </c>
      <c r="S15" s="63">
        <f>I15*M15*1.2</f>
        <v>15600</v>
      </c>
      <c r="T15" s="63">
        <f>J15*M15*1.2</f>
        <v>15600</v>
      </c>
      <c r="U15" s="63">
        <f>K15*M15*1.2</f>
        <v>15600</v>
      </c>
      <c r="V15" s="63">
        <f>L15*M15*1.2</f>
        <v>15600</v>
      </c>
    </row>
    <row r="16" spans="1:22" s="54" customFormat="1" ht="15">
      <c r="A16" s="63" t="s">
        <v>2</v>
      </c>
      <c r="B16" s="64" t="s">
        <v>43</v>
      </c>
      <c r="C16" s="65"/>
      <c r="D16" s="68">
        <f>1500</f>
        <v>1500</v>
      </c>
      <c r="E16" s="68">
        <f>1500</f>
        <v>1500</v>
      </c>
      <c r="F16" s="68">
        <f>1500</f>
        <v>1500</v>
      </c>
      <c r="G16" s="68">
        <f>1500</f>
        <v>1500</v>
      </c>
      <c r="H16" s="68">
        <f>1500</f>
        <v>1500</v>
      </c>
      <c r="I16" s="68">
        <f>1500</f>
        <v>1500</v>
      </c>
      <c r="J16" s="68">
        <f>1500</f>
        <v>1500</v>
      </c>
      <c r="K16" s="68">
        <f>1500</f>
        <v>1500</v>
      </c>
      <c r="L16" s="68">
        <f>1500</f>
        <v>1500</v>
      </c>
      <c r="M16" s="65">
        <v>1</v>
      </c>
      <c r="N16" s="67">
        <f>D16*M16*1.2</f>
        <v>1800</v>
      </c>
      <c r="O16" s="63">
        <f>E16*M16*1.2</f>
        <v>1800</v>
      </c>
      <c r="P16" s="63">
        <f>F16*M16*1.2</f>
        <v>1800</v>
      </c>
      <c r="Q16" s="63">
        <f>G16*M16*1.2</f>
        <v>1800</v>
      </c>
      <c r="R16" s="59">
        <f>H16*M16*1.2</f>
        <v>1800</v>
      </c>
      <c r="S16" s="63">
        <f>I16*M16*1.2</f>
        <v>1800</v>
      </c>
      <c r="T16" s="63">
        <f>J16*M16*1.2</f>
        <v>1800</v>
      </c>
      <c r="U16" s="63">
        <f>K16*M16*1.2</f>
        <v>1800</v>
      </c>
      <c r="V16" s="63">
        <f>L16*M16*1.2</f>
        <v>1800</v>
      </c>
    </row>
    <row r="17" spans="1:22" s="54" customFormat="1" ht="15">
      <c r="A17" s="63" t="s">
        <v>2</v>
      </c>
      <c r="B17" s="64" t="s">
        <v>44</v>
      </c>
      <c r="C17" s="65" t="s">
        <v>6</v>
      </c>
      <c r="D17" s="68">
        <f>2900+900</f>
        <v>3800</v>
      </c>
      <c r="E17" s="68">
        <f aca="true" t="shared" si="9" ref="E17:L17">2900+900</f>
        <v>3800</v>
      </c>
      <c r="F17" s="68">
        <f t="shared" si="9"/>
        <v>3800</v>
      </c>
      <c r="G17" s="68">
        <f t="shared" si="9"/>
        <v>3800</v>
      </c>
      <c r="H17" s="68">
        <f t="shared" si="9"/>
        <v>3800</v>
      </c>
      <c r="I17" s="68">
        <f t="shared" si="9"/>
        <v>3800</v>
      </c>
      <c r="J17" s="68">
        <f t="shared" si="9"/>
        <v>3800</v>
      </c>
      <c r="K17" s="68">
        <f t="shared" si="9"/>
        <v>3800</v>
      </c>
      <c r="L17" s="68">
        <f t="shared" si="9"/>
        <v>3800</v>
      </c>
      <c r="M17" s="65">
        <v>2</v>
      </c>
      <c r="N17" s="67">
        <f>D17*M17*1.2</f>
        <v>9120</v>
      </c>
      <c r="O17" s="63">
        <f>E17*M17*1.2</f>
        <v>9120</v>
      </c>
      <c r="P17" s="63">
        <f>F17*M17*1.2</f>
        <v>9120</v>
      </c>
      <c r="Q17" s="63">
        <f>G17*M17*1.2</f>
        <v>9120</v>
      </c>
      <c r="R17" s="59">
        <f>H17*M17*1.2</f>
        <v>9120</v>
      </c>
      <c r="S17" s="63">
        <f>I17*M17*1.2</f>
        <v>9120</v>
      </c>
      <c r="T17" s="63">
        <f>J17*M17*1.2</f>
        <v>9120</v>
      </c>
      <c r="U17" s="63">
        <f>K17*M17*1.2</f>
        <v>9120</v>
      </c>
      <c r="V17" s="63">
        <f>L17*M17*1.2</f>
        <v>9120</v>
      </c>
    </row>
    <row r="18" spans="1:22" s="54" customFormat="1" ht="15">
      <c r="A18" s="63" t="s">
        <v>1</v>
      </c>
      <c r="B18" s="64" t="s">
        <v>0</v>
      </c>
      <c r="C18" s="65" t="s">
        <v>6</v>
      </c>
      <c r="D18" s="66">
        <v>500</v>
      </c>
      <c r="E18" s="66">
        <v>500</v>
      </c>
      <c r="F18" s="66">
        <v>500</v>
      </c>
      <c r="G18" s="66">
        <v>500</v>
      </c>
      <c r="H18" s="66">
        <v>500</v>
      </c>
      <c r="I18" s="66">
        <v>500</v>
      </c>
      <c r="J18" s="66">
        <v>500</v>
      </c>
      <c r="K18" s="66">
        <v>500</v>
      </c>
      <c r="L18" s="66">
        <v>500</v>
      </c>
      <c r="M18" s="65">
        <v>2</v>
      </c>
      <c r="N18" s="67">
        <f t="shared" si="0"/>
        <v>1000</v>
      </c>
      <c r="O18" s="63">
        <f t="shared" si="1"/>
        <v>1000</v>
      </c>
      <c r="P18" s="63">
        <f t="shared" si="2"/>
        <v>1000</v>
      </c>
      <c r="Q18" s="63">
        <f t="shared" si="3"/>
        <v>1000</v>
      </c>
      <c r="R18" s="59">
        <f t="shared" si="4"/>
        <v>1000</v>
      </c>
      <c r="S18" s="63">
        <f t="shared" si="5"/>
        <v>1000</v>
      </c>
      <c r="T18" s="63">
        <f t="shared" si="6"/>
        <v>1000</v>
      </c>
      <c r="U18" s="63">
        <f t="shared" si="7"/>
        <v>1000</v>
      </c>
      <c r="V18" s="63">
        <f t="shared" si="8"/>
        <v>1000</v>
      </c>
    </row>
    <row r="19" spans="1:22" s="54" customFormat="1" ht="15">
      <c r="A19" s="63" t="s">
        <v>2</v>
      </c>
      <c r="B19" s="64" t="s">
        <v>34</v>
      </c>
      <c r="C19" s="65" t="s">
        <v>6</v>
      </c>
      <c r="D19" s="68">
        <f>6800</f>
        <v>6800</v>
      </c>
      <c r="E19" s="68">
        <f>6800</f>
        <v>6800</v>
      </c>
      <c r="F19" s="68">
        <f>6800</f>
        <v>6800</v>
      </c>
      <c r="G19" s="68">
        <f>6800</f>
        <v>6800</v>
      </c>
      <c r="H19" s="68">
        <f>6800</f>
        <v>6800</v>
      </c>
      <c r="I19" s="68">
        <f>6800</f>
        <v>6800</v>
      </c>
      <c r="J19" s="68">
        <f>6800</f>
        <v>6800</v>
      </c>
      <c r="K19" s="68">
        <f>6800</f>
        <v>6800</v>
      </c>
      <c r="L19" s="68">
        <f>6800</f>
        <v>6800</v>
      </c>
      <c r="M19" s="65">
        <v>1</v>
      </c>
      <c r="N19" s="67">
        <f>D19*M19*1.2</f>
        <v>8160</v>
      </c>
      <c r="O19" s="63">
        <f>E19*M19*1.2</f>
        <v>8160</v>
      </c>
      <c r="P19" s="63">
        <f>F19*M19*1.2</f>
        <v>8160</v>
      </c>
      <c r="Q19" s="63">
        <f>G19*M19*1.2</f>
        <v>8160</v>
      </c>
      <c r="R19" s="59">
        <f>H19*M19*1.2</f>
        <v>8160</v>
      </c>
      <c r="S19" s="63">
        <f>I19*M19*1.2</f>
        <v>8160</v>
      </c>
      <c r="T19" s="63">
        <f>J19*M19*1.2</f>
        <v>8160</v>
      </c>
      <c r="U19" s="63">
        <f>K19*M19*1.2</f>
        <v>8160</v>
      </c>
      <c r="V19" s="63">
        <f>L19*M19*1.2</f>
        <v>8160</v>
      </c>
    </row>
    <row r="20" spans="1:22" s="54" customFormat="1" ht="15">
      <c r="A20" s="63" t="s">
        <v>2</v>
      </c>
      <c r="B20" s="64" t="s">
        <v>16</v>
      </c>
      <c r="C20" s="65" t="s">
        <v>6</v>
      </c>
      <c r="D20" s="61">
        <v>12000</v>
      </c>
      <c r="E20" s="61">
        <v>12000</v>
      </c>
      <c r="F20" s="61">
        <v>12000</v>
      </c>
      <c r="G20" s="61">
        <v>12000</v>
      </c>
      <c r="H20" s="61">
        <v>12000</v>
      </c>
      <c r="I20" s="61">
        <v>12000</v>
      </c>
      <c r="J20" s="61">
        <v>12000</v>
      </c>
      <c r="K20" s="61">
        <v>12000</v>
      </c>
      <c r="L20" s="61">
        <v>12000</v>
      </c>
      <c r="M20" s="65">
        <v>1</v>
      </c>
      <c r="N20" s="67">
        <f t="shared" si="0"/>
        <v>12000</v>
      </c>
      <c r="O20" s="63">
        <f t="shared" si="1"/>
        <v>12000</v>
      </c>
      <c r="P20" s="63">
        <f t="shared" si="2"/>
        <v>12000</v>
      </c>
      <c r="Q20" s="63">
        <f t="shared" si="3"/>
        <v>12000</v>
      </c>
      <c r="R20" s="59">
        <f t="shared" si="4"/>
        <v>12000</v>
      </c>
      <c r="S20" s="63">
        <f t="shared" si="5"/>
        <v>12000</v>
      </c>
      <c r="T20" s="63">
        <f t="shared" si="6"/>
        <v>12000</v>
      </c>
      <c r="U20" s="63">
        <f t="shared" si="7"/>
        <v>12000</v>
      </c>
      <c r="V20" s="63">
        <f t="shared" si="8"/>
        <v>12000</v>
      </c>
    </row>
    <row r="21" spans="1:22" s="54" customFormat="1" ht="15">
      <c r="A21" s="63" t="s">
        <v>1</v>
      </c>
      <c r="B21" s="64" t="s">
        <v>8</v>
      </c>
      <c r="C21" s="65" t="s">
        <v>7</v>
      </c>
      <c r="D21" s="61">
        <v>40</v>
      </c>
      <c r="E21" s="61">
        <v>40</v>
      </c>
      <c r="F21" s="61">
        <v>40</v>
      </c>
      <c r="G21" s="61">
        <v>40</v>
      </c>
      <c r="H21" s="61">
        <v>40</v>
      </c>
      <c r="I21" s="61">
        <v>40</v>
      </c>
      <c r="J21" s="61">
        <v>40</v>
      </c>
      <c r="K21" s="61">
        <v>40</v>
      </c>
      <c r="L21" s="61">
        <v>40</v>
      </c>
      <c r="M21" s="65">
        <v>10</v>
      </c>
      <c r="N21" s="67">
        <f t="shared" si="0"/>
        <v>400</v>
      </c>
      <c r="O21" s="63">
        <f t="shared" si="1"/>
        <v>400</v>
      </c>
      <c r="P21" s="63">
        <f t="shared" si="2"/>
        <v>400</v>
      </c>
      <c r="Q21" s="63">
        <f t="shared" si="3"/>
        <v>400</v>
      </c>
      <c r="R21" s="59">
        <f t="shared" si="4"/>
        <v>400</v>
      </c>
      <c r="S21" s="63">
        <f t="shared" si="5"/>
        <v>400</v>
      </c>
      <c r="T21" s="63">
        <f t="shared" si="6"/>
        <v>400</v>
      </c>
      <c r="U21" s="63">
        <f t="shared" si="7"/>
        <v>400</v>
      </c>
      <c r="V21" s="63">
        <f t="shared" si="8"/>
        <v>400</v>
      </c>
    </row>
    <row r="22" spans="1:22" s="54" customFormat="1" ht="15">
      <c r="A22" s="63" t="s">
        <v>1</v>
      </c>
      <c r="B22" s="64" t="s">
        <v>15</v>
      </c>
      <c r="C22" s="65" t="s">
        <v>7</v>
      </c>
      <c r="D22" s="61">
        <v>10</v>
      </c>
      <c r="E22" s="61">
        <v>10</v>
      </c>
      <c r="F22" s="61">
        <v>10</v>
      </c>
      <c r="G22" s="61">
        <v>10</v>
      </c>
      <c r="H22" s="61">
        <v>10</v>
      </c>
      <c r="I22" s="61">
        <v>10</v>
      </c>
      <c r="J22" s="61">
        <v>10</v>
      </c>
      <c r="K22" s="61">
        <v>10</v>
      </c>
      <c r="L22" s="61">
        <v>10</v>
      </c>
      <c r="M22" s="65">
        <v>30</v>
      </c>
      <c r="N22" s="67">
        <f t="shared" si="0"/>
        <v>300</v>
      </c>
      <c r="O22" s="63">
        <f t="shared" si="1"/>
        <v>300</v>
      </c>
      <c r="P22" s="63">
        <f t="shared" si="2"/>
        <v>300</v>
      </c>
      <c r="Q22" s="63">
        <f t="shared" si="3"/>
        <v>300</v>
      </c>
      <c r="R22" s="59">
        <f t="shared" si="4"/>
        <v>300</v>
      </c>
      <c r="S22" s="63">
        <f t="shared" si="5"/>
        <v>300</v>
      </c>
      <c r="T22" s="63">
        <f t="shared" si="6"/>
        <v>300</v>
      </c>
      <c r="U22" s="63">
        <f t="shared" si="7"/>
        <v>300</v>
      </c>
      <c r="V22" s="63">
        <f t="shared" si="8"/>
        <v>300</v>
      </c>
    </row>
    <row r="23" spans="1:22" s="54" customFormat="1" ht="15">
      <c r="A23" s="63" t="s">
        <v>1</v>
      </c>
      <c r="B23" s="64" t="s">
        <v>18</v>
      </c>
      <c r="C23" s="65" t="s">
        <v>7</v>
      </c>
      <c r="D23" s="61">
        <v>20</v>
      </c>
      <c r="E23" s="61">
        <v>20</v>
      </c>
      <c r="F23" s="61">
        <v>20</v>
      </c>
      <c r="G23" s="61">
        <v>20</v>
      </c>
      <c r="H23" s="61">
        <v>20</v>
      </c>
      <c r="I23" s="61">
        <v>20</v>
      </c>
      <c r="J23" s="61">
        <v>20</v>
      </c>
      <c r="K23" s="61">
        <v>20</v>
      </c>
      <c r="L23" s="61">
        <v>20</v>
      </c>
      <c r="M23" s="65">
        <v>25</v>
      </c>
      <c r="N23" s="67">
        <f t="shared" si="0"/>
        <v>500</v>
      </c>
      <c r="O23" s="63">
        <f t="shared" si="1"/>
        <v>500</v>
      </c>
      <c r="P23" s="63">
        <f t="shared" si="2"/>
        <v>500</v>
      </c>
      <c r="Q23" s="63">
        <f t="shared" si="3"/>
        <v>500</v>
      </c>
      <c r="R23" s="59">
        <f t="shared" si="4"/>
        <v>500</v>
      </c>
      <c r="S23" s="63">
        <f t="shared" si="5"/>
        <v>500</v>
      </c>
      <c r="T23" s="63">
        <f t="shared" si="6"/>
        <v>500</v>
      </c>
      <c r="U23" s="63">
        <f t="shared" si="7"/>
        <v>500</v>
      </c>
      <c r="V23" s="63">
        <f t="shared" si="8"/>
        <v>500</v>
      </c>
    </row>
    <row r="24" spans="1:22" s="54" customFormat="1" ht="15">
      <c r="A24" s="63" t="s">
        <v>1</v>
      </c>
      <c r="B24" s="64" t="s">
        <v>9</v>
      </c>
      <c r="C24" s="65" t="s">
        <v>7</v>
      </c>
      <c r="D24" s="61">
        <v>20</v>
      </c>
      <c r="E24" s="61">
        <v>20</v>
      </c>
      <c r="F24" s="61">
        <v>20</v>
      </c>
      <c r="G24" s="61">
        <v>20</v>
      </c>
      <c r="H24" s="61">
        <v>20</v>
      </c>
      <c r="I24" s="61">
        <v>20</v>
      </c>
      <c r="J24" s="61">
        <v>20</v>
      </c>
      <c r="K24" s="61">
        <v>20</v>
      </c>
      <c r="L24" s="61">
        <v>20</v>
      </c>
      <c r="M24" s="65">
        <v>25</v>
      </c>
      <c r="N24" s="67">
        <f t="shared" si="0"/>
        <v>500</v>
      </c>
      <c r="O24" s="63">
        <f t="shared" si="1"/>
        <v>500</v>
      </c>
      <c r="P24" s="63">
        <f t="shared" si="2"/>
        <v>500</v>
      </c>
      <c r="Q24" s="63">
        <f t="shared" si="3"/>
        <v>500</v>
      </c>
      <c r="R24" s="59">
        <f t="shared" si="4"/>
        <v>500</v>
      </c>
      <c r="S24" s="63">
        <f t="shared" si="5"/>
        <v>500</v>
      </c>
      <c r="T24" s="63">
        <f t="shared" si="6"/>
        <v>500</v>
      </c>
      <c r="U24" s="63">
        <f t="shared" si="7"/>
        <v>500</v>
      </c>
      <c r="V24" s="63">
        <f t="shared" si="8"/>
        <v>500</v>
      </c>
    </row>
    <row r="25" spans="1:22" s="54" customFormat="1" ht="15.75" thickBot="1">
      <c r="A25" s="69" t="s">
        <v>1</v>
      </c>
      <c r="B25" s="70" t="s">
        <v>17</v>
      </c>
      <c r="C25" s="71" t="s">
        <v>7</v>
      </c>
      <c r="D25" s="72">
        <v>20</v>
      </c>
      <c r="E25" s="72">
        <v>20</v>
      </c>
      <c r="F25" s="72">
        <v>20</v>
      </c>
      <c r="G25" s="72">
        <v>20</v>
      </c>
      <c r="H25" s="72">
        <v>20</v>
      </c>
      <c r="I25" s="72">
        <v>20</v>
      </c>
      <c r="J25" s="72">
        <v>20</v>
      </c>
      <c r="K25" s="72">
        <v>20</v>
      </c>
      <c r="L25" s="72">
        <v>20</v>
      </c>
      <c r="M25" s="71">
        <f>SUM(M21:M24)</f>
        <v>90</v>
      </c>
      <c r="N25" s="73">
        <f t="shared" si="0"/>
        <v>1800</v>
      </c>
      <c r="O25" s="74">
        <f t="shared" si="1"/>
        <v>1800</v>
      </c>
      <c r="P25" s="74">
        <f t="shared" si="2"/>
        <v>1800</v>
      </c>
      <c r="Q25" s="74">
        <f t="shared" si="3"/>
        <v>1800</v>
      </c>
      <c r="R25" s="75">
        <f t="shared" si="4"/>
        <v>1800</v>
      </c>
      <c r="S25" s="74">
        <f t="shared" si="5"/>
        <v>1800</v>
      </c>
      <c r="T25" s="74">
        <f t="shared" si="6"/>
        <v>1800</v>
      </c>
      <c r="U25" s="74">
        <f t="shared" si="7"/>
        <v>1800</v>
      </c>
      <c r="V25" s="74">
        <f t="shared" si="8"/>
        <v>1800</v>
      </c>
    </row>
    <row r="26" spans="1:22" s="55" customFormat="1" ht="14.25">
      <c r="A26" s="80" t="s">
        <v>19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55">
        <f>SUM(N6:N25)</f>
        <v>149140</v>
      </c>
      <c r="O26" s="55">
        <f aca="true" t="shared" si="10" ref="O26:V26">SUM(O6:O25)</f>
        <v>149700</v>
      </c>
      <c r="P26" s="55">
        <f t="shared" si="10"/>
        <v>151550</v>
      </c>
      <c r="Q26" s="55">
        <f t="shared" si="10"/>
        <v>156220</v>
      </c>
      <c r="R26" s="78">
        <f t="shared" si="10"/>
        <v>166940</v>
      </c>
      <c r="S26" s="55">
        <f t="shared" si="10"/>
        <v>176620</v>
      </c>
      <c r="T26" s="55">
        <f t="shared" si="10"/>
        <v>210920</v>
      </c>
      <c r="U26" s="55">
        <f t="shared" si="10"/>
        <v>474380</v>
      </c>
      <c r="V26" s="55">
        <f t="shared" si="10"/>
        <v>280180</v>
      </c>
    </row>
    <row r="27" spans="1:22" s="55" customFormat="1" ht="29.25" customHeight="1">
      <c r="A27" s="86" t="s">
        <v>94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54" customFormat="1" ht="15" customHeight="1">
      <c r="A28" s="84" t="s">
        <v>14</v>
      </c>
      <c r="B28" s="84" t="s">
        <v>13</v>
      </c>
      <c r="C28" s="84" t="s">
        <v>11</v>
      </c>
      <c r="D28" s="87" t="s">
        <v>10</v>
      </c>
      <c r="E28" s="88"/>
      <c r="F28" s="88"/>
      <c r="G28" s="88"/>
      <c r="H28" s="88"/>
      <c r="I28" s="88"/>
      <c r="J28" s="88"/>
      <c r="K28" s="88"/>
      <c r="L28" s="89"/>
      <c r="M28" s="84" t="s">
        <v>12</v>
      </c>
      <c r="N28" s="87" t="s">
        <v>10</v>
      </c>
      <c r="O28" s="88"/>
      <c r="P28" s="88"/>
      <c r="Q28" s="88"/>
      <c r="R28" s="88"/>
      <c r="S28" s="88"/>
      <c r="T28" s="88"/>
      <c r="U28" s="88"/>
      <c r="V28" s="89"/>
    </row>
    <row r="29" spans="1:22" s="54" customFormat="1" ht="15">
      <c r="A29" s="85"/>
      <c r="B29" s="85"/>
      <c r="C29" s="85"/>
      <c r="D29" s="57">
        <v>15</v>
      </c>
      <c r="E29" s="58">
        <v>20</v>
      </c>
      <c r="F29" s="58">
        <v>25</v>
      </c>
      <c r="G29" s="58">
        <v>32</v>
      </c>
      <c r="H29" s="58">
        <v>40</v>
      </c>
      <c r="I29" s="58">
        <v>50</v>
      </c>
      <c r="J29" s="58">
        <v>65</v>
      </c>
      <c r="K29" s="58">
        <v>80</v>
      </c>
      <c r="L29" s="58">
        <v>100</v>
      </c>
      <c r="M29" s="85"/>
      <c r="N29" s="57">
        <v>15</v>
      </c>
      <c r="O29" s="59">
        <v>20</v>
      </c>
      <c r="P29" s="58">
        <v>25</v>
      </c>
      <c r="Q29" s="58">
        <v>32</v>
      </c>
      <c r="R29" s="58">
        <v>40</v>
      </c>
      <c r="S29" s="58">
        <v>50</v>
      </c>
      <c r="T29" s="58">
        <v>65</v>
      </c>
      <c r="U29" s="58">
        <v>80</v>
      </c>
      <c r="V29" s="58">
        <v>100</v>
      </c>
    </row>
    <row r="30" spans="1:22" s="54" customFormat="1" ht="15">
      <c r="A30" s="56"/>
      <c r="B30" s="56" t="s">
        <v>20</v>
      </c>
      <c r="C30" s="56"/>
      <c r="D30" s="60" t="s">
        <v>21</v>
      </c>
      <c r="E30" s="61" t="s">
        <v>22</v>
      </c>
      <c r="F30" s="61" t="s">
        <v>23</v>
      </c>
      <c r="G30" s="61" t="s">
        <v>24</v>
      </c>
      <c r="H30" s="61" t="s">
        <v>25</v>
      </c>
      <c r="I30" s="61" t="s">
        <v>27</v>
      </c>
      <c r="J30" s="61" t="s">
        <v>28</v>
      </c>
      <c r="K30" s="61" t="s">
        <v>29</v>
      </c>
      <c r="L30" s="61" t="s">
        <v>30</v>
      </c>
      <c r="M30" s="56"/>
      <c r="N30" s="62" t="s">
        <v>21</v>
      </c>
      <c r="O30" s="59" t="s">
        <v>22</v>
      </c>
      <c r="P30" s="63" t="s">
        <v>23</v>
      </c>
      <c r="Q30" s="63" t="s">
        <v>24</v>
      </c>
      <c r="R30" s="63" t="s">
        <v>25</v>
      </c>
      <c r="S30" s="63" t="s">
        <v>27</v>
      </c>
      <c r="T30" s="63" t="s">
        <v>28</v>
      </c>
      <c r="U30" s="63" t="s">
        <v>29</v>
      </c>
      <c r="V30" s="63" t="s">
        <v>30</v>
      </c>
    </row>
    <row r="31" spans="1:22" s="54" customFormat="1" ht="15">
      <c r="A31" s="63" t="s">
        <v>2</v>
      </c>
      <c r="B31" s="64" t="s">
        <v>26</v>
      </c>
      <c r="C31" s="65" t="s">
        <v>6</v>
      </c>
      <c r="D31" s="66">
        <v>18850</v>
      </c>
      <c r="E31" s="61">
        <v>19000</v>
      </c>
      <c r="F31" s="61">
        <v>19500</v>
      </c>
      <c r="G31" s="61">
        <v>20500</v>
      </c>
      <c r="H31" s="61">
        <v>21300</v>
      </c>
      <c r="I31" s="61">
        <v>23000</v>
      </c>
      <c r="J31" s="61">
        <v>26500</v>
      </c>
      <c r="K31" s="61">
        <v>29400</v>
      </c>
      <c r="L31" s="61">
        <v>32900</v>
      </c>
      <c r="M31" s="65">
        <v>2</v>
      </c>
      <c r="N31" s="67">
        <f>D31*M31*1.2</f>
        <v>45240</v>
      </c>
      <c r="O31" s="63">
        <f>E31*M31*1.2</f>
        <v>45600</v>
      </c>
      <c r="P31" s="63">
        <f>F31*M31*1.2</f>
        <v>46800</v>
      </c>
      <c r="Q31" s="63">
        <f>G31*M31*1.2</f>
        <v>49200</v>
      </c>
      <c r="R31" s="59">
        <f>H31*M31*1.2</f>
        <v>51120</v>
      </c>
      <c r="S31" s="63">
        <f>I31*M31*1.2</f>
        <v>55200</v>
      </c>
      <c r="T31" s="63">
        <f>J31*M31*1.2</f>
        <v>63600</v>
      </c>
      <c r="U31" s="63">
        <f>K31*M31*1.2</f>
        <v>70560</v>
      </c>
      <c r="V31" s="63">
        <f>L31*M31*1.2</f>
        <v>78960</v>
      </c>
    </row>
    <row r="32" spans="1:22" s="54" customFormat="1" ht="15">
      <c r="A32" s="63" t="s">
        <v>2</v>
      </c>
      <c r="B32" s="64" t="s">
        <v>40</v>
      </c>
      <c r="C32" s="65" t="s">
        <v>6</v>
      </c>
      <c r="D32" s="68">
        <v>800</v>
      </c>
      <c r="E32" s="68">
        <v>800</v>
      </c>
      <c r="F32" s="68">
        <v>800</v>
      </c>
      <c r="G32" s="68">
        <v>800</v>
      </c>
      <c r="H32" s="68">
        <v>800</v>
      </c>
      <c r="I32" s="68">
        <v>800</v>
      </c>
      <c r="J32" s="68">
        <v>800</v>
      </c>
      <c r="K32" s="68">
        <v>800</v>
      </c>
      <c r="L32" s="68">
        <v>800</v>
      </c>
      <c r="M32" s="65">
        <v>2</v>
      </c>
      <c r="N32" s="67">
        <f>D32*M32*1.2</f>
        <v>1920</v>
      </c>
      <c r="O32" s="63">
        <f>E32*M32*1.2</f>
        <v>1920</v>
      </c>
      <c r="P32" s="63">
        <f>F32*M32*1.2</f>
        <v>1920</v>
      </c>
      <c r="Q32" s="63">
        <f>G32*M32*1.2</f>
        <v>1920</v>
      </c>
      <c r="R32" s="59">
        <f>H32*M32*1.2</f>
        <v>1920</v>
      </c>
      <c r="S32" s="63">
        <f>I32*M32*1.2</f>
        <v>1920</v>
      </c>
      <c r="T32" s="63">
        <f>J32*M32*1.2</f>
        <v>1920</v>
      </c>
      <c r="U32" s="63">
        <f>K32*M32*1.2</f>
        <v>1920</v>
      </c>
      <c r="V32" s="63">
        <f>L32*M32*1.2</f>
        <v>1920</v>
      </c>
    </row>
    <row r="33" spans="1:22" s="54" customFormat="1" ht="15">
      <c r="A33" s="63" t="s">
        <v>2</v>
      </c>
      <c r="B33" s="64" t="s">
        <v>31</v>
      </c>
      <c r="C33" s="65" t="s">
        <v>6</v>
      </c>
      <c r="D33" s="68">
        <v>6000</v>
      </c>
      <c r="E33" s="68">
        <v>6100</v>
      </c>
      <c r="F33" s="68">
        <v>6400</v>
      </c>
      <c r="G33" s="68">
        <v>6700</v>
      </c>
      <c r="H33" s="68">
        <v>7500</v>
      </c>
      <c r="I33" s="68">
        <v>8700</v>
      </c>
      <c r="J33" s="68">
        <v>10000</v>
      </c>
      <c r="K33" s="68">
        <v>129600</v>
      </c>
      <c r="L33" s="68">
        <v>17700</v>
      </c>
      <c r="M33" s="65">
        <v>2</v>
      </c>
      <c r="N33" s="67">
        <f aca="true" t="shared" si="11" ref="N33:N41">D33*M33</f>
        <v>12000</v>
      </c>
      <c r="O33" s="59">
        <f aca="true" t="shared" si="12" ref="O33:O41">E33*M33</f>
        <v>12200</v>
      </c>
      <c r="P33" s="63">
        <f aca="true" t="shared" si="13" ref="P33:P41">F33*M33</f>
        <v>12800</v>
      </c>
      <c r="Q33" s="63">
        <f aca="true" t="shared" si="14" ref="Q33:Q41">G33*M33</f>
        <v>13400</v>
      </c>
      <c r="R33" s="63">
        <f aca="true" t="shared" si="15" ref="R33:R41">H33*M33</f>
        <v>15000</v>
      </c>
      <c r="S33" s="63">
        <f aca="true" t="shared" si="16" ref="S33:S41">I33*M33</f>
        <v>17400</v>
      </c>
      <c r="T33" s="63">
        <f aca="true" t="shared" si="17" ref="T33:T41">J33*M33</f>
        <v>20000</v>
      </c>
      <c r="U33" s="63">
        <f aca="true" t="shared" si="18" ref="U33:U41">K33*M33</f>
        <v>259200</v>
      </c>
      <c r="V33" s="63">
        <f aca="true" t="shared" si="19" ref="V33:V41">L33*M33</f>
        <v>35400</v>
      </c>
    </row>
    <row r="34" spans="1:22" s="54" customFormat="1" ht="15">
      <c r="A34" s="63" t="s">
        <v>1</v>
      </c>
      <c r="B34" s="64" t="s">
        <v>37</v>
      </c>
      <c r="C34" s="65" t="s">
        <v>6</v>
      </c>
      <c r="D34" s="61">
        <v>4900</v>
      </c>
      <c r="E34" s="61">
        <v>4900</v>
      </c>
      <c r="F34" s="61">
        <v>4900</v>
      </c>
      <c r="G34" s="61">
        <v>4900</v>
      </c>
      <c r="H34" s="61">
        <v>6500</v>
      </c>
      <c r="I34" s="61">
        <v>7000</v>
      </c>
      <c r="J34" s="61">
        <v>12000</v>
      </c>
      <c r="K34" s="61">
        <v>15000</v>
      </c>
      <c r="L34" s="61">
        <v>20000</v>
      </c>
      <c r="M34" s="65">
        <v>4</v>
      </c>
      <c r="N34" s="67">
        <f t="shared" si="11"/>
        <v>19600</v>
      </c>
      <c r="O34" s="59">
        <f t="shared" si="12"/>
        <v>19600</v>
      </c>
      <c r="P34" s="63">
        <f t="shared" si="13"/>
        <v>19600</v>
      </c>
      <c r="Q34" s="63">
        <f t="shared" si="14"/>
        <v>19600</v>
      </c>
      <c r="R34" s="63">
        <f t="shared" si="15"/>
        <v>26000</v>
      </c>
      <c r="S34" s="63">
        <f t="shared" si="16"/>
        <v>28000</v>
      </c>
      <c r="T34" s="63">
        <f t="shared" si="17"/>
        <v>48000</v>
      </c>
      <c r="U34" s="63">
        <f t="shared" si="18"/>
        <v>60000</v>
      </c>
      <c r="V34" s="63">
        <f t="shared" si="19"/>
        <v>80000</v>
      </c>
    </row>
    <row r="35" spans="1:22" s="54" customFormat="1" ht="15">
      <c r="A35" s="63" t="s">
        <v>1</v>
      </c>
      <c r="B35" s="64" t="s">
        <v>36</v>
      </c>
      <c r="C35" s="65" t="s">
        <v>6</v>
      </c>
      <c r="D35" s="66">
        <v>1700</v>
      </c>
      <c r="E35" s="66">
        <v>1700</v>
      </c>
      <c r="F35" s="66">
        <v>1700</v>
      </c>
      <c r="G35" s="61">
        <v>2500</v>
      </c>
      <c r="H35" s="61">
        <v>2500</v>
      </c>
      <c r="I35" s="61">
        <v>2500</v>
      </c>
      <c r="J35" s="61">
        <v>3300</v>
      </c>
      <c r="K35" s="61">
        <v>3300</v>
      </c>
      <c r="L35" s="61">
        <v>3300</v>
      </c>
      <c r="M35" s="65">
        <v>2</v>
      </c>
      <c r="N35" s="67">
        <f t="shared" si="11"/>
        <v>3400</v>
      </c>
      <c r="O35" s="59">
        <f t="shared" si="12"/>
        <v>3400</v>
      </c>
      <c r="P35" s="63">
        <f t="shared" si="13"/>
        <v>3400</v>
      </c>
      <c r="Q35" s="63">
        <f t="shared" si="14"/>
        <v>5000</v>
      </c>
      <c r="R35" s="63">
        <f t="shared" si="15"/>
        <v>5000</v>
      </c>
      <c r="S35" s="63">
        <f t="shared" si="16"/>
        <v>5000</v>
      </c>
      <c r="T35" s="63">
        <f t="shared" si="17"/>
        <v>6600</v>
      </c>
      <c r="U35" s="63">
        <f t="shared" si="18"/>
        <v>6600</v>
      </c>
      <c r="V35" s="63">
        <f t="shared" si="19"/>
        <v>6600</v>
      </c>
    </row>
    <row r="36" spans="1:22" s="54" customFormat="1" ht="15">
      <c r="A36" s="63" t="s">
        <v>2</v>
      </c>
      <c r="B36" s="64" t="s">
        <v>32</v>
      </c>
      <c r="C36" s="65" t="s">
        <v>6</v>
      </c>
      <c r="D36" s="61">
        <v>2200</v>
      </c>
      <c r="E36" s="61">
        <v>2200</v>
      </c>
      <c r="F36" s="61">
        <v>2200</v>
      </c>
      <c r="G36" s="61">
        <v>2200</v>
      </c>
      <c r="H36" s="61">
        <v>2200</v>
      </c>
      <c r="I36" s="61">
        <v>2200</v>
      </c>
      <c r="J36" s="61">
        <v>2200</v>
      </c>
      <c r="K36" s="61">
        <v>2200</v>
      </c>
      <c r="L36" s="61">
        <v>2200</v>
      </c>
      <c r="M36" s="65">
        <v>1</v>
      </c>
      <c r="N36" s="67">
        <f>D36*M36*1.2</f>
        <v>2640</v>
      </c>
      <c r="O36" s="63">
        <f>E36*M36*1.2</f>
        <v>2640</v>
      </c>
      <c r="P36" s="63">
        <f>F36*M36*1.2</f>
        <v>2640</v>
      </c>
      <c r="Q36" s="63">
        <f>G36*M36*1.2</f>
        <v>2640</v>
      </c>
      <c r="R36" s="59">
        <f>H36*M36*1.2</f>
        <v>2640</v>
      </c>
      <c r="S36" s="63">
        <f>I36*M36*1.2</f>
        <v>2640</v>
      </c>
      <c r="T36" s="63">
        <f>J36*M36*1.2</f>
        <v>2640</v>
      </c>
      <c r="U36" s="63">
        <f>K36*M36*1.2</f>
        <v>2640</v>
      </c>
      <c r="V36" s="63">
        <f>L36*M36*1.2</f>
        <v>2640</v>
      </c>
    </row>
    <row r="37" spans="1:22" s="54" customFormat="1" ht="15">
      <c r="A37" s="63" t="s">
        <v>1</v>
      </c>
      <c r="B37" s="64" t="s">
        <v>38</v>
      </c>
      <c r="C37" s="65" t="s">
        <v>6</v>
      </c>
      <c r="D37" s="63">
        <v>4400</v>
      </c>
      <c r="E37" s="63">
        <v>4400</v>
      </c>
      <c r="F37" s="63">
        <v>4400</v>
      </c>
      <c r="G37" s="63">
        <v>4400</v>
      </c>
      <c r="H37" s="63">
        <v>4700</v>
      </c>
      <c r="I37" s="61">
        <v>5200</v>
      </c>
      <c r="J37" s="61">
        <v>5800</v>
      </c>
      <c r="K37" s="61">
        <v>8000</v>
      </c>
      <c r="L37" s="61">
        <v>8200</v>
      </c>
      <c r="M37" s="65">
        <v>2</v>
      </c>
      <c r="N37" s="67">
        <f t="shared" si="11"/>
        <v>8800</v>
      </c>
      <c r="O37" s="59">
        <f t="shared" si="12"/>
        <v>8800</v>
      </c>
      <c r="P37" s="63">
        <f t="shared" si="13"/>
        <v>8800</v>
      </c>
      <c r="Q37" s="63">
        <f t="shared" si="14"/>
        <v>8800</v>
      </c>
      <c r="R37" s="63">
        <f t="shared" si="15"/>
        <v>9400</v>
      </c>
      <c r="S37" s="63">
        <f t="shared" si="16"/>
        <v>10400</v>
      </c>
      <c r="T37" s="63">
        <f t="shared" si="17"/>
        <v>11600</v>
      </c>
      <c r="U37" s="63">
        <f t="shared" si="18"/>
        <v>16000</v>
      </c>
      <c r="V37" s="63">
        <f t="shared" si="19"/>
        <v>16400</v>
      </c>
    </row>
    <row r="38" spans="1:22" s="54" customFormat="1" ht="15">
      <c r="A38" s="63" t="s">
        <v>1</v>
      </c>
      <c r="B38" s="64" t="s">
        <v>39</v>
      </c>
      <c r="C38" s="65" t="s">
        <v>6</v>
      </c>
      <c r="D38" s="66">
        <v>250</v>
      </c>
      <c r="E38" s="61">
        <v>250</v>
      </c>
      <c r="F38" s="61">
        <v>300</v>
      </c>
      <c r="G38" s="61">
        <v>320</v>
      </c>
      <c r="H38" s="61">
        <v>350</v>
      </c>
      <c r="I38" s="61">
        <v>375</v>
      </c>
      <c r="J38" s="61">
        <v>450</v>
      </c>
      <c r="K38" s="61">
        <v>650</v>
      </c>
      <c r="L38" s="61">
        <v>800</v>
      </c>
      <c r="M38" s="65">
        <v>4</v>
      </c>
      <c r="N38" s="67">
        <f t="shared" si="11"/>
        <v>1000</v>
      </c>
      <c r="O38" s="59">
        <f t="shared" si="12"/>
        <v>1000</v>
      </c>
      <c r="P38" s="63">
        <f t="shared" si="13"/>
        <v>1200</v>
      </c>
      <c r="Q38" s="63">
        <f t="shared" si="14"/>
        <v>1280</v>
      </c>
      <c r="R38" s="63">
        <f t="shared" si="15"/>
        <v>1400</v>
      </c>
      <c r="S38" s="63">
        <f t="shared" si="16"/>
        <v>1500</v>
      </c>
      <c r="T38" s="63">
        <f t="shared" si="17"/>
        <v>1800</v>
      </c>
      <c r="U38" s="63">
        <f t="shared" si="18"/>
        <v>2600</v>
      </c>
      <c r="V38" s="63">
        <f t="shared" si="19"/>
        <v>3200</v>
      </c>
    </row>
    <row r="39" spans="1:22" s="54" customFormat="1" ht="15">
      <c r="A39" s="63" t="s">
        <v>1</v>
      </c>
      <c r="B39" s="64" t="s">
        <v>8</v>
      </c>
      <c r="C39" s="65" t="s">
        <v>7</v>
      </c>
      <c r="D39" s="61">
        <v>40</v>
      </c>
      <c r="E39" s="61">
        <v>40</v>
      </c>
      <c r="F39" s="61">
        <v>40</v>
      </c>
      <c r="G39" s="61">
        <v>40</v>
      </c>
      <c r="H39" s="61">
        <v>40</v>
      </c>
      <c r="I39" s="61">
        <v>40</v>
      </c>
      <c r="J39" s="61">
        <v>40</v>
      </c>
      <c r="K39" s="61">
        <v>40</v>
      </c>
      <c r="L39" s="61">
        <v>40</v>
      </c>
      <c r="M39" s="65">
        <v>20</v>
      </c>
      <c r="N39" s="67">
        <f t="shared" si="11"/>
        <v>800</v>
      </c>
      <c r="O39" s="59">
        <f t="shared" si="12"/>
        <v>800</v>
      </c>
      <c r="P39" s="63">
        <f t="shared" si="13"/>
        <v>800</v>
      </c>
      <c r="Q39" s="63">
        <f t="shared" si="14"/>
        <v>800</v>
      </c>
      <c r="R39" s="63">
        <f t="shared" si="15"/>
        <v>800</v>
      </c>
      <c r="S39" s="63">
        <f t="shared" si="16"/>
        <v>800</v>
      </c>
      <c r="T39" s="63">
        <f t="shared" si="17"/>
        <v>800</v>
      </c>
      <c r="U39" s="63">
        <f t="shared" si="18"/>
        <v>800</v>
      </c>
      <c r="V39" s="63">
        <f t="shared" si="19"/>
        <v>800</v>
      </c>
    </row>
    <row r="40" spans="1:22" s="54" customFormat="1" ht="15">
      <c r="A40" s="63" t="s">
        <v>1</v>
      </c>
      <c r="B40" s="64" t="s">
        <v>15</v>
      </c>
      <c r="C40" s="65" t="s">
        <v>7</v>
      </c>
      <c r="D40" s="61">
        <v>10</v>
      </c>
      <c r="E40" s="61">
        <v>10</v>
      </c>
      <c r="F40" s="61">
        <v>10</v>
      </c>
      <c r="G40" s="61">
        <v>10</v>
      </c>
      <c r="H40" s="61">
        <v>10</v>
      </c>
      <c r="I40" s="61">
        <v>10</v>
      </c>
      <c r="J40" s="61">
        <v>10</v>
      </c>
      <c r="K40" s="61">
        <v>10</v>
      </c>
      <c r="L40" s="61">
        <v>10</v>
      </c>
      <c r="M40" s="65">
        <v>20</v>
      </c>
      <c r="N40" s="67">
        <f t="shared" si="11"/>
        <v>200</v>
      </c>
      <c r="O40" s="59">
        <f t="shared" si="12"/>
        <v>200</v>
      </c>
      <c r="P40" s="63">
        <f t="shared" si="13"/>
        <v>200</v>
      </c>
      <c r="Q40" s="63">
        <f t="shared" si="14"/>
        <v>200</v>
      </c>
      <c r="R40" s="63">
        <f t="shared" si="15"/>
        <v>200</v>
      </c>
      <c r="S40" s="63">
        <f t="shared" si="16"/>
        <v>200</v>
      </c>
      <c r="T40" s="63">
        <f t="shared" si="17"/>
        <v>200</v>
      </c>
      <c r="U40" s="63">
        <f t="shared" si="18"/>
        <v>200</v>
      </c>
      <c r="V40" s="63">
        <f t="shared" si="19"/>
        <v>200</v>
      </c>
    </row>
    <row r="41" spans="1:22" s="54" customFormat="1" ht="15.75" thickBot="1">
      <c r="A41" s="69" t="s">
        <v>1</v>
      </c>
      <c r="B41" s="70" t="s">
        <v>17</v>
      </c>
      <c r="C41" s="71" t="s">
        <v>7</v>
      </c>
      <c r="D41" s="72">
        <v>20</v>
      </c>
      <c r="E41" s="72">
        <v>20</v>
      </c>
      <c r="F41" s="72">
        <v>20</v>
      </c>
      <c r="G41" s="72">
        <v>20</v>
      </c>
      <c r="H41" s="72">
        <v>20</v>
      </c>
      <c r="I41" s="72">
        <v>20</v>
      </c>
      <c r="J41" s="72">
        <v>20</v>
      </c>
      <c r="K41" s="72">
        <v>20</v>
      </c>
      <c r="L41" s="72">
        <v>20</v>
      </c>
      <c r="M41" s="71">
        <v>40</v>
      </c>
      <c r="N41" s="73">
        <f t="shared" si="11"/>
        <v>800</v>
      </c>
      <c r="O41" s="75">
        <f t="shared" si="12"/>
        <v>800</v>
      </c>
      <c r="P41" s="74">
        <f t="shared" si="13"/>
        <v>800</v>
      </c>
      <c r="Q41" s="74">
        <f t="shared" si="14"/>
        <v>800</v>
      </c>
      <c r="R41" s="74">
        <f t="shared" si="15"/>
        <v>800</v>
      </c>
      <c r="S41" s="74">
        <f t="shared" si="16"/>
        <v>800</v>
      </c>
      <c r="T41" s="74">
        <f t="shared" si="17"/>
        <v>800</v>
      </c>
      <c r="U41" s="74">
        <f t="shared" si="18"/>
        <v>800</v>
      </c>
      <c r="V41" s="74">
        <f t="shared" si="19"/>
        <v>800</v>
      </c>
    </row>
    <row r="42" spans="1:22" s="55" customFormat="1" ht="14.25">
      <c r="A42" s="80" t="s">
        <v>19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55">
        <f aca="true" t="shared" si="20" ref="N42:V42">SUM(N31:N41)</f>
        <v>96400</v>
      </c>
      <c r="O42" s="78">
        <f t="shared" si="20"/>
        <v>96960</v>
      </c>
      <c r="P42" s="55">
        <f t="shared" si="20"/>
        <v>98960</v>
      </c>
      <c r="Q42" s="55">
        <f t="shared" si="20"/>
        <v>103640</v>
      </c>
      <c r="R42" s="55">
        <f t="shared" si="20"/>
        <v>114280</v>
      </c>
      <c r="S42" s="55">
        <f t="shared" si="20"/>
        <v>123860</v>
      </c>
      <c r="T42" s="55">
        <f t="shared" si="20"/>
        <v>157960</v>
      </c>
      <c r="U42" s="55">
        <f t="shared" si="20"/>
        <v>421320</v>
      </c>
      <c r="V42" s="55">
        <f t="shared" si="20"/>
        <v>226920</v>
      </c>
    </row>
    <row r="43" spans="1:22" s="54" customFormat="1" ht="15">
      <c r="A43" s="81" t="s">
        <v>92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s="54" customFormat="1" ht="28.5" customHeight="1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3:13" s="54" customFormat="1" ht="15" hidden="1">
      <c r="C45" s="76"/>
      <c r="D45" s="76"/>
      <c r="M45" s="76"/>
    </row>
    <row r="46" spans="1:13" s="55" customFormat="1" ht="14.25">
      <c r="A46" s="55" t="s">
        <v>47</v>
      </c>
      <c r="C46" s="77"/>
      <c r="D46" s="77"/>
      <c r="M46" s="77"/>
    </row>
    <row r="47" spans="1:22" s="54" customFormat="1" ht="27.75" customHeight="1">
      <c r="A47" s="83" t="s">
        <v>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3:13" s="54" customFormat="1" ht="15" hidden="1">
      <c r="C48" s="76"/>
      <c r="D48" s="76"/>
      <c r="M48" s="76"/>
    </row>
    <row r="49" spans="1:13" s="55" customFormat="1" ht="14.25">
      <c r="A49" s="55" t="s">
        <v>48</v>
      </c>
      <c r="C49" s="77"/>
      <c r="D49" s="77"/>
      <c r="M49" s="77"/>
    </row>
    <row r="50" spans="1:13" s="54" customFormat="1" ht="15">
      <c r="A50" s="54" t="s">
        <v>125</v>
      </c>
      <c r="C50" s="76"/>
      <c r="D50" s="76"/>
      <c r="M50" s="76"/>
    </row>
    <row r="51" spans="3:13" s="54" customFormat="1" ht="15" hidden="1">
      <c r="C51" s="76"/>
      <c r="D51" s="76"/>
      <c r="M51" s="76"/>
    </row>
    <row r="52" spans="1:22" s="55" customFormat="1" ht="25.5" customHeight="1">
      <c r="A52" s="79" t="s">
        <v>126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13" s="54" customFormat="1" ht="15">
      <c r="A53" s="54" t="s">
        <v>93</v>
      </c>
      <c r="C53" s="76"/>
      <c r="D53" s="76"/>
      <c r="M53" s="76"/>
    </row>
  </sheetData>
  <sheetProtection/>
  <mergeCells count="21">
    <mergeCell ref="N3:V3"/>
    <mergeCell ref="C3:C4"/>
    <mergeCell ref="B3:B4"/>
    <mergeCell ref="A1:V1"/>
    <mergeCell ref="A2:V2"/>
    <mergeCell ref="M3:M4"/>
    <mergeCell ref="A3:A4"/>
    <mergeCell ref="D3:L3"/>
    <mergeCell ref="A26:M26"/>
    <mergeCell ref="A27:V27"/>
    <mergeCell ref="C28:C29"/>
    <mergeCell ref="D28:L28"/>
    <mergeCell ref="M28:M29"/>
    <mergeCell ref="N28:V28"/>
    <mergeCell ref="A52:V52"/>
    <mergeCell ref="A42:M42"/>
    <mergeCell ref="A43:V43"/>
    <mergeCell ref="A44:V44"/>
    <mergeCell ref="A47:V47"/>
    <mergeCell ref="A28:A29"/>
    <mergeCell ref="B28:B29"/>
  </mergeCells>
  <printOptions/>
  <pageMargins left="0.24" right="0.24" top="0.7480314960629921" bottom="0.63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85" zoomScaleNormal="85" zoomScalePageLayoutView="0" workbookViewId="0" topLeftCell="A109">
      <selection activeCell="C27" sqref="C27:F27"/>
    </sheetView>
  </sheetViews>
  <sheetFormatPr defaultColWidth="9.140625" defaultRowHeight="1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6.5">
      <c r="A2" s="22"/>
      <c r="B2" s="109" t="s">
        <v>49</v>
      </c>
      <c r="C2" s="109"/>
      <c r="D2" s="109"/>
      <c r="E2" s="109"/>
      <c r="F2" s="2"/>
      <c r="G2" s="2"/>
      <c r="H2" s="109" t="s">
        <v>50</v>
      </c>
      <c r="I2" s="109"/>
      <c r="J2" s="109"/>
      <c r="K2" s="109"/>
      <c r="L2" s="109"/>
    </row>
    <row r="3" spans="1:12" ht="15">
      <c r="A3" s="2"/>
      <c r="B3" s="110"/>
      <c r="C3" s="110"/>
      <c r="D3" s="110"/>
      <c r="E3" s="110"/>
      <c r="F3" s="2"/>
      <c r="G3" s="2"/>
      <c r="H3" s="110"/>
      <c r="I3" s="110"/>
      <c r="J3" s="110"/>
      <c r="K3" s="110"/>
      <c r="L3" s="110"/>
    </row>
    <row r="4" spans="1:12" ht="15">
      <c r="A4" s="4"/>
      <c r="B4" s="4"/>
      <c r="C4" s="5"/>
      <c r="D4" s="5"/>
      <c r="E4" s="5"/>
      <c r="F4" s="2"/>
      <c r="G4" s="2"/>
      <c r="H4" s="3"/>
      <c r="I4" s="5"/>
      <c r="J4" s="5"/>
      <c r="K4" s="5"/>
      <c r="L4" s="3"/>
    </row>
    <row r="5" spans="1:12" ht="15">
      <c r="A5" s="3"/>
      <c r="B5" s="110" t="str">
        <f>CONCATENATE("______________________ ",IF('[1]Source'!AL12&lt;&gt;"",'[1]Source'!AL12,""))</f>
        <v>______________________ </v>
      </c>
      <c r="C5" s="110"/>
      <c r="D5" s="110"/>
      <c r="E5" s="110"/>
      <c r="F5" s="2"/>
      <c r="G5" s="2"/>
      <c r="H5" s="110" t="str">
        <f>CONCATENATE("______________________ ",IF('[1]Source'!AH12&lt;&gt;"",'[1]Source'!AH12,""))</f>
        <v>______________________ </v>
      </c>
      <c r="I5" s="110"/>
      <c r="J5" s="110"/>
      <c r="K5" s="110"/>
      <c r="L5" s="110"/>
    </row>
    <row r="6" spans="1:12" ht="15">
      <c r="A6" s="6"/>
      <c r="B6" s="106" t="s">
        <v>51</v>
      </c>
      <c r="C6" s="106"/>
      <c r="D6" s="106"/>
      <c r="E6" s="106"/>
      <c r="F6" s="2"/>
      <c r="G6" s="2"/>
      <c r="H6" s="106" t="s">
        <v>51</v>
      </c>
      <c r="I6" s="106"/>
      <c r="J6" s="106"/>
      <c r="K6" s="106"/>
      <c r="L6" s="106"/>
    </row>
    <row r="9" spans="1:12" ht="15.75">
      <c r="A9" s="6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6"/>
    </row>
    <row r="10" spans="1:12" ht="15">
      <c r="A10" s="21"/>
      <c r="B10" s="107" t="s">
        <v>52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6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108" t="s">
        <v>65</v>
      </c>
      <c r="G12" s="108"/>
      <c r="H12" s="91">
        <f>IF('[1]Source'!F12&lt;&gt;"Новый объект",'[1]Source'!F12,"")</f>
      </c>
      <c r="I12" s="91"/>
      <c r="J12" s="91"/>
      <c r="K12" s="91"/>
      <c r="L12" s="24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25"/>
      <c r="B14" s="101" t="str">
        <f>CONCATENATE("ЛОКАЛЬНАЯ СМЕТА № ",IF('[1]Source'!F12&lt;&gt;"Новый объект",'[1]Source'!F12,""))</f>
        <v>ЛОКАЛЬНАЯ СМЕТА № </v>
      </c>
      <c r="C14" s="101"/>
      <c r="D14" s="101"/>
      <c r="E14" s="101"/>
      <c r="F14" s="101"/>
      <c r="G14" s="101"/>
      <c r="H14" s="101"/>
      <c r="I14" s="101"/>
      <c r="J14" s="101"/>
      <c r="K14" s="101"/>
      <c r="L14" s="25"/>
    </row>
    <row r="15" spans="1:12" ht="15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/>
    </row>
    <row r="16" spans="1:12" ht="18">
      <c r="A16" s="2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25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>
      <c r="A18" s="2"/>
      <c r="B18" s="103" t="str">
        <f>IF('[1]Source'!G12&lt;&gt;"Новый объект",'[1]Source'!G12,"")</f>
        <v>УУТЭ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6"/>
    </row>
    <row r="19" spans="1:12" ht="15">
      <c r="A19" s="2"/>
      <c r="B19" s="104" t="s">
        <v>53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6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91" t="str">
        <f>CONCATENATE("Основание: ",'[1]Source'!J12)</f>
        <v>Основание: 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7"/>
      <c r="F24" s="27"/>
      <c r="G24" s="105" t="s">
        <v>66</v>
      </c>
      <c r="H24" s="105"/>
      <c r="I24" s="105" t="s">
        <v>67</v>
      </c>
      <c r="J24" s="105"/>
      <c r="K24" s="2"/>
      <c r="L24" s="2"/>
    </row>
    <row r="25" spans="1:12" ht="15">
      <c r="A25" s="2"/>
      <c r="B25" s="2"/>
      <c r="C25" s="97" t="s">
        <v>68</v>
      </c>
      <c r="D25" s="97"/>
      <c r="E25" s="97"/>
      <c r="F25" s="97"/>
      <c r="G25" s="92">
        <f>SUM(O1:O131)/1000</f>
        <v>0</v>
      </c>
      <c r="H25" s="92"/>
      <c r="I25" s="92">
        <f>('[1]Source'!P270/1000)</f>
        <v>126.71383999999999</v>
      </c>
      <c r="J25" s="92"/>
      <c r="K25" s="98" t="s">
        <v>54</v>
      </c>
      <c r="L25" s="98"/>
    </row>
    <row r="26" spans="1:12" ht="15">
      <c r="A26" s="2"/>
      <c r="B26" s="2"/>
      <c r="C26" s="100" t="s">
        <v>69</v>
      </c>
      <c r="D26" s="100"/>
      <c r="E26" s="100"/>
      <c r="F26" s="100"/>
      <c r="G26" s="92">
        <f>SUM(W1:W131)/1000</f>
        <v>0</v>
      </c>
      <c r="H26" s="92"/>
      <c r="I26" s="92">
        <f>('[1]Source'!P260)/1000</f>
        <v>13.459370000000002</v>
      </c>
      <c r="J26" s="92"/>
      <c r="K26" s="98" t="s">
        <v>54</v>
      </c>
      <c r="L26" s="98"/>
    </row>
    <row r="27" spans="1:12" ht="15">
      <c r="A27" s="2"/>
      <c r="B27" s="2"/>
      <c r="C27" s="100" t="s">
        <v>70</v>
      </c>
      <c r="D27" s="100"/>
      <c r="E27" s="100"/>
      <c r="F27" s="100"/>
      <c r="G27" s="92">
        <f>SUM(X1:X131)/1000</f>
        <v>0</v>
      </c>
      <c r="H27" s="92"/>
      <c r="I27" s="92">
        <f>('[1]Source'!P261)/1000</f>
        <v>12.09234</v>
      </c>
      <c r="J27" s="92"/>
      <c r="K27" s="98" t="s">
        <v>54</v>
      </c>
      <c r="L27" s="98"/>
    </row>
    <row r="28" spans="1:12" ht="15">
      <c r="A28" s="2"/>
      <c r="B28" s="2"/>
      <c r="C28" s="100" t="s">
        <v>71</v>
      </c>
      <c r="D28" s="100"/>
      <c r="E28" s="100"/>
      <c r="F28" s="100"/>
      <c r="G28" s="92">
        <f>SUM(Y1:Y131)/1000</f>
        <v>0</v>
      </c>
      <c r="H28" s="92"/>
      <c r="I28" s="92">
        <f>('[1]Source'!P252)/1000</f>
        <v>0</v>
      </c>
      <c r="J28" s="92"/>
      <c r="K28" s="98" t="s">
        <v>54</v>
      </c>
      <c r="L28" s="98"/>
    </row>
    <row r="29" spans="1:12" ht="15">
      <c r="A29" s="2"/>
      <c r="B29" s="2"/>
      <c r="C29" s="100" t="s">
        <v>72</v>
      </c>
      <c r="D29" s="100"/>
      <c r="E29" s="100"/>
      <c r="F29" s="100"/>
      <c r="G29" s="92">
        <f>SUM(Z1:Z131)/1000</f>
        <v>0</v>
      </c>
      <c r="H29" s="92"/>
      <c r="I29" s="92">
        <f>('[1]Source'!P262+'[1]Source'!P263)/1000</f>
        <v>101.16213</v>
      </c>
      <c r="J29" s="92"/>
      <c r="K29" s="98" t="s">
        <v>54</v>
      </c>
      <c r="L29" s="98"/>
    </row>
    <row r="30" spans="1:12" ht="15">
      <c r="A30" s="2"/>
      <c r="B30" s="2"/>
      <c r="C30" s="97" t="s">
        <v>73</v>
      </c>
      <c r="D30" s="97"/>
      <c r="E30" s="97"/>
      <c r="F30" s="97"/>
      <c r="G30" s="92">
        <f>I30</f>
        <v>305.636</v>
      </c>
      <c r="H30" s="92"/>
      <c r="I30" s="92">
        <f>('[1]Source'!P265+'[1]Source'!P266)</f>
        <v>305.636</v>
      </c>
      <c r="J30" s="92"/>
      <c r="K30" s="98" t="s">
        <v>74</v>
      </c>
      <c r="L30" s="98"/>
    </row>
    <row r="31" spans="1:12" ht="15">
      <c r="A31" s="2"/>
      <c r="B31" s="2"/>
      <c r="C31" s="97" t="s">
        <v>75</v>
      </c>
      <c r="D31" s="97"/>
      <c r="E31" s="97"/>
      <c r="F31" s="97"/>
      <c r="G31" s="92">
        <f>SUM(R1:R131)/1000</f>
        <v>0</v>
      </c>
      <c r="H31" s="92"/>
      <c r="I31" s="92">
        <f>(('[1]Source'!P258+'[1]Source'!P257)/1000)</f>
        <v>57.34739999999999</v>
      </c>
      <c r="J31" s="92"/>
      <c r="K31" s="98" t="s">
        <v>54</v>
      </c>
      <c r="L31" s="98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99" t="s">
        <v>76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57">
      <c r="A34" s="10" t="s">
        <v>77</v>
      </c>
      <c r="B34" s="10" t="s">
        <v>55</v>
      </c>
      <c r="C34" s="10" t="s">
        <v>56</v>
      </c>
      <c r="D34" s="10" t="s">
        <v>78</v>
      </c>
      <c r="E34" s="10" t="s">
        <v>79</v>
      </c>
      <c r="F34" s="10" t="s">
        <v>80</v>
      </c>
      <c r="G34" s="10" t="s">
        <v>81</v>
      </c>
      <c r="H34" s="10" t="s">
        <v>82</v>
      </c>
      <c r="I34" s="10" t="s">
        <v>83</v>
      </c>
      <c r="J34" s="10" t="s">
        <v>84</v>
      </c>
      <c r="K34" s="10" t="s">
        <v>57</v>
      </c>
      <c r="L34" s="10" t="s">
        <v>85</v>
      </c>
    </row>
    <row r="35" spans="1:12" ht="15">
      <c r="A35" s="28">
        <v>1</v>
      </c>
      <c r="B35" s="28">
        <v>2</v>
      </c>
      <c r="C35" s="28">
        <v>3</v>
      </c>
      <c r="D35" s="28">
        <v>4</v>
      </c>
      <c r="E35" s="28">
        <v>5</v>
      </c>
      <c r="F35" s="28">
        <v>6</v>
      </c>
      <c r="G35" s="28">
        <v>7</v>
      </c>
      <c r="H35" s="28">
        <v>8</v>
      </c>
      <c r="I35" s="28">
        <v>9</v>
      </c>
      <c r="J35" s="28">
        <v>10</v>
      </c>
      <c r="K35" s="28">
        <v>11</v>
      </c>
      <c r="L35" s="29">
        <v>12</v>
      </c>
    </row>
    <row r="37" spans="1:12" ht="16.5">
      <c r="A37" s="95" t="str">
        <f>CONCATENATE("Локальная смета: ",IF('[1]Source'!G20&lt;&gt;"Новая локальная смета",'[1]Source'!G20,""))</f>
        <v>Локальная смета: 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9" spans="1:12" ht="16.5">
      <c r="A39" s="95" t="str">
        <f>CONCATENATE("Раздел: ",IF('[1]Source'!G24&lt;&gt;"Новый раздел",'[1]Source'!G24,""))</f>
        <v>Раздел: Сантехнические работы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71.25">
      <c r="A40" s="11" t="str">
        <f>'[1]Source'!E33</f>
        <v>3</v>
      </c>
      <c r="B40" s="12" t="str">
        <f>'[1]Source'!F33</f>
        <v>16-06-002-01</v>
      </c>
      <c r="C40" s="12" t="str">
        <f>'[1]Source'!G33</f>
        <v>Установка водомерных узлов, поставляемых на место монтажа собранными в блоки, без обводной линии диаметром ввода до 65 мм, диаметром водомера до 40 мм</v>
      </c>
      <c r="D40" s="30" t="str">
        <f>'[1]Source'!DW33</f>
        <v>узел</v>
      </c>
      <c r="E40" s="1">
        <f>'[1]Source'!I33</f>
        <v>2</v>
      </c>
      <c r="F40" s="14">
        <f>'[1]Source'!AL33+'[1]Source'!AM33+'[1]Source'!AO33</f>
        <v>175.03</v>
      </c>
      <c r="G40" s="13"/>
      <c r="H40" s="15"/>
      <c r="I40" s="13">
        <f>'[1]Source'!BO33</f>
      </c>
      <c r="J40" s="13"/>
      <c r="K40" s="15"/>
      <c r="L40" s="31"/>
    </row>
    <row r="41" spans="1:12" ht="15">
      <c r="A41" s="11"/>
      <c r="B41" s="12"/>
      <c r="C41" s="12" t="s">
        <v>86</v>
      </c>
      <c r="D41" s="30"/>
      <c r="E41" s="1"/>
      <c r="F41" s="14">
        <f>'[1]Source'!AO33</f>
        <v>59.68</v>
      </c>
      <c r="G41" s="13">
        <f>'[1]Source'!DG33</f>
      </c>
      <c r="H41" s="15">
        <f>ROUND('[1]Source'!AF33*'[1]Source'!I33,2)</f>
        <v>119.36</v>
      </c>
      <c r="I41" s="13"/>
      <c r="J41" s="13">
        <f>IF('[1]Source'!BA33&lt;&gt;0,'[1]Source'!BA33,1)</f>
        <v>20.78</v>
      </c>
      <c r="K41" s="15">
        <f>'[1]Source'!S33</f>
        <v>2480.3</v>
      </c>
      <c r="L41" s="31"/>
    </row>
    <row r="42" spans="1:12" ht="15">
      <c r="A42" s="11"/>
      <c r="B42" s="12"/>
      <c r="C42" s="12" t="s">
        <v>62</v>
      </c>
      <c r="D42" s="30"/>
      <c r="E42" s="1"/>
      <c r="F42" s="14">
        <f>'[1]Source'!AM33</f>
        <v>8.41</v>
      </c>
      <c r="G42" s="13">
        <f>'[1]Source'!DE33</f>
      </c>
      <c r="H42" s="15">
        <f>ROUND('[1]Source'!AD33*'[1]Source'!I33,2)</f>
        <v>16.82</v>
      </c>
      <c r="I42" s="13"/>
      <c r="J42" s="13">
        <f>IF('[1]Source'!BB33&lt;&gt;0,'[1]Source'!BB33,1)</f>
        <v>7.79</v>
      </c>
      <c r="K42" s="15">
        <f>'[1]Source'!Q33</f>
        <v>131.03</v>
      </c>
      <c r="L42" s="31"/>
    </row>
    <row r="43" spans="1:12" ht="15">
      <c r="A43" s="11"/>
      <c r="B43" s="12"/>
      <c r="C43" s="12" t="s">
        <v>63</v>
      </c>
      <c r="D43" s="30"/>
      <c r="E43" s="1"/>
      <c r="F43" s="14">
        <f>'[1]Source'!AN33</f>
        <v>0.63</v>
      </c>
      <c r="G43" s="13">
        <f>'[1]Source'!DF33</f>
      </c>
      <c r="H43" s="20">
        <f>ROUND('[1]Source'!AE33*'[1]Source'!I33,2)</f>
        <v>1.26</v>
      </c>
      <c r="I43" s="13"/>
      <c r="J43" s="13">
        <f>IF('[1]Source'!BS33&lt;&gt;0,'[1]Source'!BS33,1)</f>
        <v>20.78</v>
      </c>
      <c r="K43" s="20">
        <f>'[1]Source'!R33</f>
        <v>26.18</v>
      </c>
      <c r="L43" s="31"/>
    </row>
    <row r="44" spans="1:12" ht="15">
      <c r="A44" s="11"/>
      <c r="B44" s="12"/>
      <c r="C44" s="12" t="s">
        <v>64</v>
      </c>
      <c r="D44" s="30"/>
      <c r="E44" s="1"/>
      <c r="F44" s="14">
        <f>'[1]Source'!AL33</f>
        <v>106.94</v>
      </c>
      <c r="G44" s="13">
        <f>'[1]Source'!DD33</f>
      </c>
      <c r="H44" s="15">
        <f>ROUND('[1]Source'!AC33*'[1]Source'!I33,2)</f>
        <v>213.88</v>
      </c>
      <c r="I44" s="13"/>
      <c r="J44" s="13">
        <f>IF('[1]Source'!BC33&lt;&gt;0,'[1]Source'!BC33,1)</f>
        <v>6.22</v>
      </c>
      <c r="K44" s="15">
        <f>'[1]Source'!P33</f>
        <v>1330.33</v>
      </c>
      <c r="L44" s="31"/>
    </row>
    <row r="45" spans="1:12" ht="15">
      <c r="A45" s="11"/>
      <c r="B45" s="12"/>
      <c r="C45" s="12" t="s">
        <v>58</v>
      </c>
      <c r="D45" s="30" t="s">
        <v>59</v>
      </c>
      <c r="E45" s="1">
        <f>'[1]Source'!BZ33</f>
        <v>128</v>
      </c>
      <c r="F45" s="32"/>
      <c r="G45" s="13"/>
      <c r="H45" s="15">
        <f>SUM(S40:S47)</f>
        <v>0</v>
      </c>
      <c r="I45" s="33"/>
      <c r="J45" s="7">
        <f>'[1]Source'!AT33</f>
        <v>128</v>
      </c>
      <c r="K45" s="15">
        <f>SUM(T40:T47)</f>
        <v>0</v>
      </c>
      <c r="L45" s="31"/>
    </row>
    <row r="46" spans="1:12" ht="15">
      <c r="A46" s="11"/>
      <c r="B46" s="12"/>
      <c r="C46" s="12" t="s">
        <v>60</v>
      </c>
      <c r="D46" s="30" t="s">
        <v>59</v>
      </c>
      <c r="E46" s="1">
        <f>'[1]Source'!CA33</f>
        <v>83</v>
      </c>
      <c r="F46" s="32"/>
      <c r="G46" s="13"/>
      <c r="H46" s="15">
        <f>SUM(U40:U47)</f>
        <v>0</v>
      </c>
      <c r="I46" s="33"/>
      <c r="J46" s="7">
        <f>'[1]Source'!AU33</f>
        <v>83</v>
      </c>
      <c r="K46" s="15">
        <f>SUM(V40:V47)</f>
        <v>0</v>
      </c>
      <c r="L46" s="31"/>
    </row>
    <row r="47" spans="1:12" ht="15">
      <c r="A47" s="16"/>
      <c r="B47" s="17"/>
      <c r="C47" s="17" t="s">
        <v>87</v>
      </c>
      <c r="D47" s="34" t="s">
        <v>61</v>
      </c>
      <c r="E47" s="9">
        <f>'[1]Source'!AQ33</f>
        <v>6.58</v>
      </c>
      <c r="F47" s="19"/>
      <c r="G47" s="18">
        <f>'[1]Source'!DI33</f>
      </c>
      <c r="H47" s="8"/>
      <c r="I47" s="18"/>
      <c r="J47" s="18"/>
      <c r="K47" s="8"/>
      <c r="L47" s="35">
        <f>'[1]Source'!U33</f>
        <v>13.16</v>
      </c>
    </row>
    <row r="48" spans="7:12" ht="15">
      <c r="G48" s="96">
        <f>H41+H42+H44+H45+H46</f>
        <v>350.06</v>
      </c>
      <c r="H48" s="96"/>
      <c r="J48" s="96">
        <f>K41+K42+K44+K45+K46</f>
        <v>3941.6600000000003</v>
      </c>
      <c r="K48" s="96"/>
      <c r="L48" s="36">
        <f>'[1]Source'!U33</f>
        <v>13.16</v>
      </c>
    </row>
    <row r="49" spans="1:12" ht="57">
      <c r="A49" s="11" t="str">
        <f>'[1]Source'!E35</f>
        <v>4</v>
      </c>
      <c r="B49" s="12" t="str">
        <f>'[1]Source'!F35</f>
        <v>16-05-001-02</v>
      </c>
      <c r="C49" s="12" t="str">
        <f>'[1]Source'!G35</f>
        <v>Установка вентилей, задвижек, затворов, клапанов обратных, кранов проходных на трубопроводах из стальных труб диаметром до 50 мм</v>
      </c>
      <c r="D49" s="30" t="str">
        <f>'[1]Source'!DW35</f>
        <v>ШТ</v>
      </c>
      <c r="E49" s="1">
        <f>'[1]Source'!I35</f>
        <v>4</v>
      </c>
      <c r="F49" s="14">
        <f>'[1]Source'!AL35+'[1]Source'!AM35+'[1]Source'!AO35</f>
        <v>42.14</v>
      </c>
      <c r="G49" s="13"/>
      <c r="H49" s="15"/>
      <c r="I49" s="13">
        <f>'[1]Source'!BO35</f>
      </c>
      <c r="J49" s="13"/>
      <c r="K49" s="15"/>
      <c r="L49" s="31"/>
    </row>
    <row r="50" spans="1:12" ht="15">
      <c r="A50" s="11"/>
      <c r="B50" s="12"/>
      <c r="C50" s="12" t="s">
        <v>86</v>
      </c>
      <c r="D50" s="30"/>
      <c r="E50" s="1"/>
      <c r="F50" s="14">
        <f>'[1]Source'!AO35</f>
        <v>13.33</v>
      </c>
      <c r="G50" s="13">
        <f>'[1]Source'!DG35</f>
      </c>
      <c r="H50" s="15">
        <f>ROUND('[1]Source'!AF35*'[1]Source'!I35,2)</f>
        <v>53.32</v>
      </c>
      <c r="I50" s="13"/>
      <c r="J50" s="13">
        <f>IF('[1]Source'!BA35&lt;&gt;0,'[1]Source'!BA35,1)</f>
        <v>20.78</v>
      </c>
      <c r="K50" s="15">
        <f>'[1]Source'!S35</f>
        <v>1107.99</v>
      </c>
      <c r="L50" s="31"/>
    </row>
    <row r="51" spans="1:12" ht="15">
      <c r="A51" s="11"/>
      <c r="B51" s="12"/>
      <c r="C51" s="12" t="s">
        <v>62</v>
      </c>
      <c r="D51" s="30"/>
      <c r="E51" s="1"/>
      <c r="F51" s="14">
        <f>'[1]Source'!AM35</f>
        <v>4.15</v>
      </c>
      <c r="G51" s="13">
        <f>'[1]Source'!DE35</f>
      </c>
      <c r="H51" s="15">
        <f>ROUND('[1]Source'!AD35*'[1]Source'!I35,2)</f>
        <v>16.6</v>
      </c>
      <c r="I51" s="13"/>
      <c r="J51" s="13">
        <f>IF('[1]Source'!BB35&lt;&gt;0,'[1]Source'!BB35,1)</f>
        <v>7.79</v>
      </c>
      <c r="K51" s="15">
        <f>'[1]Source'!Q35</f>
        <v>129.31</v>
      </c>
      <c r="L51" s="31"/>
    </row>
    <row r="52" spans="1:12" ht="15">
      <c r="A52" s="11"/>
      <c r="B52" s="12"/>
      <c r="C52" s="12" t="s">
        <v>63</v>
      </c>
      <c r="D52" s="30"/>
      <c r="E52" s="1"/>
      <c r="F52" s="14">
        <f>'[1]Source'!AN35</f>
        <v>0.23</v>
      </c>
      <c r="G52" s="13">
        <f>'[1]Source'!DF35</f>
      </c>
      <c r="H52" s="20">
        <f>ROUND('[1]Source'!AE35*'[1]Source'!I35,2)</f>
        <v>0.92</v>
      </c>
      <c r="I52" s="13"/>
      <c r="J52" s="13">
        <f>IF('[1]Source'!BS35&lt;&gt;0,'[1]Source'!BS35,1)</f>
        <v>20.78</v>
      </c>
      <c r="K52" s="20">
        <f>'[1]Source'!R35</f>
        <v>19.12</v>
      </c>
      <c r="L52" s="31"/>
    </row>
    <row r="53" spans="1:12" ht="15">
      <c r="A53" s="11"/>
      <c r="B53" s="12"/>
      <c r="C53" s="12" t="s">
        <v>64</v>
      </c>
      <c r="D53" s="30"/>
      <c r="E53" s="1"/>
      <c r="F53" s="14">
        <f>'[1]Source'!AL35</f>
        <v>24.66</v>
      </c>
      <c r="G53" s="13">
        <f>'[1]Source'!DD35</f>
      </c>
      <c r="H53" s="15">
        <f>ROUND('[1]Source'!AC35*'[1]Source'!I35,2)</f>
        <v>98.64</v>
      </c>
      <c r="I53" s="13"/>
      <c r="J53" s="13">
        <f>IF('[1]Source'!BC35&lt;&gt;0,'[1]Source'!BC35,1)</f>
        <v>6.22</v>
      </c>
      <c r="K53" s="15">
        <f>'[1]Source'!P35</f>
        <v>613.54</v>
      </c>
      <c r="L53" s="31"/>
    </row>
    <row r="54" spans="1:12" ht="15">
      <c r="A54" s="11"/>
      <c r="B54" s="12"/>
      <c r="C54" s="12" t="s">
        <v>58</v>
      </c>
      <c r="D54" s="30" t="s">
        <v>59</v>
      </c>
      <c r="E54" s="1">
        <f>'[1]Source'!BZ35</f>
        <v>128</v>
      </c>
      <c r="F54" s="32"/>
      <c r="G54" s="13"/>
      <c r="H54" s="15">
        <f>SUM(S49:S56)</f>
        <v>0</v>
      </c>
      <c r="I54" s="33"/>
      <c r="J54" s="7">
        <f>'[1]Source'!AT35</f>
        <v>128</v>
      </c>
      <c r="K54" s="15">
        <f>SUM(T49:T56)</f>
        <v>0</v>
      </c>
      <c r="L54" s="31"/>
    </row>
    <row r="55" spans="1:12" ht="15">
      <c r="A55" s="11"/>
      <c r="B55" s="12"/>
      <c r="C55" s="12" t="s">
        <v>60</v>
      </c>
      <c r="D55" s="30" t="s">
        <v>59</v>
      </c>
      <c r="E55" s="1">
        <f>'[1]Source'!CA35</f>
        <v>83</v>
      </c>
      <c r="F55" s="32"/>
      <c r="G55" s="13"/>
      <c r="H55" s="15">
        <f>SUM(U49:U56)</f>
        <v>0</v>
      </c>
      <c r="I55" s="33"/>
      <c r="J55" s="7">
        <f>'[1]Source'!AU35</f>
        <v>83</v>
      </c>
      <c r="K55" s="15">
        <f>SUM(V49:V56)</f>
        <v>0</v>
      </c>
      <c r="L55" s="31"/>
    </row>
    <row r="56" spans="1:12" ht="15">
      <c r="A56" s="16"/>
      <c r="B56" s="17"/>
      <c r="C56" s="17" t="s">
        <v>87</v>
      </c>
      <c r="D56" s="34" t="s">
        <v>61</v>
      </c>
      <c r="E56" s="9">
        <f>'[1]Source'!AQ35</f>
        <v>1.47</v>
      </c>
      <c r="F56" s="19"/>
      <c r="G56" s="18">
        <f>'[1]Source'!DI35</f>
      </c>
      <c r="H56" s="8"/>
      <c r="I56" s="18"/>
      <c r="J56" s="18"/>
      <c r="K56" s="8"/>
      <c r="L56" s="35">
        <f>'[1]Source'!U35</f>
        <v>5.88</v>
      </c>
    </row>
    <row r="57" spans="7:12" ht="15">
      <c r="G57" s="96">
        <f>H50+H51+H53+H54+H55</f>
        <v>168.56</v>
      </c>
      <c r="H57" s="96"/>
      <c r="J57" s="96">
        <f>K50+K51+K53+K54+K55</f>
        <v>1850.84</v>
      </c>
      <c r="K57" s="96"/>
      <c r="L57" s="36">
        <f>'[1]Source'!U35</f>
        <v>5.88</v>
      </c>
    </row>
    <row r="59" spans="1:12" ht="15">
      <c r="A59" s="93" t="str">
        <f>CONCATENATE("Итого по разделу: ",IF('[1]Source'!G91&lt;&gt;"Новый раздел",'[1]Source'!G91,""))</f>
        <v>Итого по разделу: Сантехнические работы</v>
      </c>
      <c r="B59" s="93"/>
      <c r="C59" s="93"/>
      <c r="D59" s="93"/>
      <c r="E59" s="93"/>
      <c r="F59" s="93"/>
      <c r="G59" s="94">
        <f>SUM(O39:O58)</f>
        <v>0</v>
      </c>
      <c r="H59" s="94"/>
      <c r="I59" s="37"/>
      <c r="J59" s="94">
        <f>SUM(P39:P58)</f>
        <v>0</v>
      </c>
      <c r="K59" s="94"/>
      <c r="L59" s="36">
        <f>SUM(Q39:Q58)</f>
        <v>0</v>
      </c>
    </row>
    <row r="62" spans="3:11" ht="15">
      <c r="C62" s="91" t="str">
        <f>'[1]Source'!H119</f>
        <v>Итого</v>
      </c>
      <c r="D62" s="91"/>
      <c r="E62" s="91"/>
      <c r="F62" s="91"/>
      <c r="G62" s="91"/>
      <c r="H62" s="91"/>
      <c r="I62" s="91"/>
      <c r="J62" s="92">
        <f>IF('[1]Source'!P119=0,"",'[1]Source'!P119)</f>
        <v>13459.37</v>
      </c>
      <c r="K62" s="92"/>
    </row>
    <row r="63" spans="3:11" ht="15">
      <c r="C63" s="91" t="str">
        <f>'[1]Source'!H120</f>
        <v>НДС 20%</v>
      </c>
      <c r="D63" s="91"/>
      <c r="E63" s="91"/>
      <c r="F63" s="91"/>
      <c r="G63" s="91"/>
      <c r="H63" s="91"/>
      <c r="I63" s="91"/>
      <c r="J63" s="92">
        <f>IF('[1]Source'!P120=0,"",'[1]Source'!P120)</f>
        <v>2691.87</v>
      </c>
      <c r="K63" s="92"/>
    </row>
    <row r="64" spans="3:11" ht="15">
      <c r="C64" s="91" t="str">
        <f>'[1]Source'!H121</f>
        <v>Всего</v>
      </c>
      <c r="D64" s="91"/>
      <c r="E64" s="91"/>
      <c r="F64" s="91"/>
      <c r="G64" s="91"/>
      <c r="H64" s="91"/>
      <c r="I64" s="91"/>
      <c r="J64" s="92">
        <f>IF('[1]Source'!P121=0,"",'[1]Source'!P121)</f>
        <v>16151.24</v>
      </c>
      <c r="K64" s="92"/>
    </row>
    <row r="66" spans="1:12" ht="16.5">
      <c r="A66" s="95" t="str">
        <f>CONCATENATE("Раздел: ",IF('[1]Source'!G123&lt;&gt;"Новый раздел",'[1]Source'!G123,""))</f>
        <v>Раздел: Электромонтажные работы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ht="28.5">
      <c r="A67" s="11" t="str">
        <f>'[1]Source'!E128</f>
        <v>1</v>
      </c>
      <c r="B67" s="12" t="str">
        <f>'[1]Source'!F128</f>
        <v>м11-06-001-01</v>
      </c>
      <c r="C67" s="12" t="str">
        <f>'[1]Source'!G128</f>
        <v>Щиты и пульты, масса до 50 кг</v>
      </c>
      <c r="D67" s="30" t="str">
        <f>'[1]Source'!DW128</f>
        <v>ШТ</v>
      </c>
      <c r="E67" s="1">
        <f>'[1]Source'!I128</f>
        <v>1</v>
      </c>
      <c r="F67" s="14">
        <f>'[1]Source'!AL128+'[1]Source'!AM128+'[1]Source'!AO128</f>
        <v>152.70000000000002</v>
      </c>
      <c r="G67" s="13"/>
      <c r="H67" s="15"/>
      <c r="I67" s="13">
        <f>'[1]Source'!BO128</f>
      </c>
      <c r="J67" s="13"/>
      <c r="K67" s="15"/>
      <c r="L67" s="31"/>
    </row>
    <row r="68" spans="1:12" ht="15">
      <c r="A68" s="11"/>
      <c r="B68" s="12"/>
      <c r="C68" s="12" t="s">
        <v>86</v>
      </c>
      <c r="D68" s="30"/>
      <c r="E68" s="1"/>
      <c r="F68" s="14">
        <f>'[1]Source'!AO128</f>
        <v>45.63</v>
      </c>
      <c r="G68" s="13">
        <f>'[1]Source'!DG128</f>
      </c>
      <c r="H68" s="15">
        <f>ROUND('[1]Source'!AF128*'[1]Source'!I128,2)</f>
        <v>45.63</v>
      </c>
      <c r="I68" s="13"/>
      <c r="J68" s="13">
        <f>IF('[1]Source'!BA128&lt;&gt;0,'[1]Source'!BA128,1)</f>
        <v>20.78</v>
      </c>
      <c r="K68" s="15">
        <f>'[1]Source'!S128</f>
        <v>948.19</v>
      </c>
      <c r="L68" s="31"/>
    </row>
    <row r="69" spans="1:12" ht="15">
      <c r="A69" s="11"/>
      <c r="B69" s="12"/>
      <c r="C69" s="12" t="s">
        <v>62</v>
      </c>
      <c r="D69" s="30"/>
      <c r="E69" s="1"/>
      <c r="F69" s="14">
        <f>'[1]Source'!AM128</f>
        <v>9.56</v>
      </c>
      <c r="G69" s="13">
        <f>'[1]Source'!DE128</f>
      </c>
      <c r="H69" s="15">
        <f>ROUND('[1]Source'!AD128*'[1]Source'!I128,2)</f>
        <v>9.56</v>
      </c>
      <c r="I69" s="13"/>
      <c r="J69" s="13">
        <f>IF('[1]Source'!BB128&lt;&gt;0,'[1]Source'!BB128,1)</f>
        <v>7.79</v>
      </c>
      <c r="K69" s="15">
        <f>'[1]Source'!Q128</f>
        <v>74.47</v>
      </c>
      <c r="L69" s="31"/>
    </row>
    <row r="70" spans="1:12" ht="15">
      <c r="A70" s="11"/>
      <c r="B70" s="12"/>
      <c r="C70" s="12" t="s">
        <v>63</v>
      </c>
      <c r="D70" s="30"/>
      <c r="E70" s="1"/>
      <c r="F70" s="14">
        <f>'[1]Source'!AN128</f>
        <v>0.89</v>
      </c>
      <c r="G70" s="13">
        <f>'[1]Source'!DF128</f>
      </c>
      <c r="H70" s="20">
        <f>ROUND('[1]Source'!AE128*'[1]Source'!I128,2)</f>
        <v>0.89</v>
      </c>
      <c r="I70" s="13"/>
      <c r="J70" s="13">
        <f>IF('[1]Source'!BS128&lt;&gt;0,'[1]Source'!BS128,1)</f>
        <v>20.78</v>
      </c>
      <c r="K70" s="20">
        <f>'[1]Source'!R128</f>
        <v>18.49</v>
      </c>
      <c r="L70" s="31"/>
    </row>
    <row r="71" spans="1:12" ht="15">
      <c r="A71" s="11"/>
      <c r="B71" s="12"/>
      <c r="C71" s="12" t="s">
        <v>64</v>
      </c>
      <c r="D71" s="30"/>
      <c r="E71" s="1"/>
      <c r="F71" s="14">
        <f>'[1]Source'!AL128</f>
        <v>97.51</v>
      </c>
      <c r="G71" s="13">
        <f>'[1]Source'!DD128</f>
      </c>
      <c r="H71" s="15">
        <f>ROUND('[1]Source'!AC128*'[1]Source'!I128,2)</f>
        <v>97.51</v>
      </c>
      <c r="I71" s="13"/>
      <c r="J71" s="13">
        <f>IF('[1]Source'!BC128&lt;&gt;0,'[1]Source'!BC128,1)</f>
        <v>6.22</v>
      </c>
      <c r="K71" s="15">
        <f>'[1]Source'!P128</f>
        <v>606.51</v>
      </c>
      <c r="L71" s="31"/>
    </row>
    <row r="72" spans="1:12" ht="15">
      <c r="A72" s="11"/>
      <c r="B72" s="12"/>
      <c r="C72" s="12" t="s">
        <v>58</v>
      </c>
      <c r="D72" s="30" t="s">
        <v>59</v>
      </c>
      <c r="E72" s="1">
        <f>'[1]Source'!BZ128</f>
        <v>80</v>
      </c>
      <c r="F72" s="32"/>
      <c r="G72" s="13"/>
      <c r="H72" s="15">
        <f>SUM(S67:S74)</f>
        <v>0</v>
      </c>
      <c r="I72" s="33"/>
      <c r="J72" s="7">
        <f>'[1]Source'!AT128</f>
        <v>80</v>
      </c>
      <c r="K72" s="15">
        <f>SUM(T67:T74)</f>
        <v>0</v>
      </c>
      <c r="L72" s="31"/>
    </row>
    <row r="73" spans="1:12" ht="15">
      <c r="A73" s="11"/>
      <c r="B73" s="12"/>
      <c r="C73" s="12" t="s">
        <v>60</v>
      </c>
      <c r="D73" s="30" t="s">
        <v>59</v>
      </c>
      <c r="E73" s="1">
        <f>'[1]Source'!CA128</f>
        <v>60</v>
      </c>
      <c r="F73" s="32"/>
      <c r="G73" s="13"/>
      <c r="H73" s="15">
        <f>SUM(U67:U74)</f>
        <v>0</v>
      </c>
      <c r="I73" s="33"/>
      <c r="J73" s="7">
        <f>'[1]Source'!AU128</f>
        <v>60</v>
      </c>
      <c r="K73" s="15">
        <f>SUM(V67:V74)</f>
        <v>0</v>
      </c>
      <c r="L73" s="31"/>
    </row>
    <row r="74" spans="1:12" ht="15">
      <c r="A74" s="16"/>
      <c r="B74" s="17"/>
      <c r="C74" s="17" t="s">
        <v>87</v>
      </c>
      <c r="D74" s="34" t="s">
        <v>61</v>
      </c>
      <c r="E74" s="9">
        <f>'[1]Source'!AQ128</f>
        <v>5.15</v>
      </c>
      <c r="F74" s="19"/>
      <c r="G74" s="18">
        <f>'[1]Source'!DI128</f>
      </c>
      <c r="H74" s="8"/>
      <c r="I74" s="18"/>
      <c r="J74" s="18"/>
      <c r="K74" s="8"/>
      <c r="L74" s="35">
        <f>'[1]Source'!U128</f>
        <v>5.15</v>
      </c>
    </row>
    <row r="75" spans="7:12" ht="15">
      <c r="G75" s="96">
        <f>H68+H69+H71+H72+H73</f>
        <v>152.70000000000002</v>
      </c>
      <c r="H75" s="96"/>
      <c r="J75" s="96">
        <f>K68+K69+K71+K72+K73</f>
        <v>1629.17</v>
      </c>
      <c r="K75" s="96"/>
      <c r="L75" s="36">
        <f>'[1]Source'!U128</f>
        <v>5.15</v>
      </c>
    </row>
    <row r="76" spans="1:12" ht="57">
      <c r="A76" s="11" t="str">
        <f>'[1]Source'!E130</f>
        <v>2</v>
      </c>
      <c r="B76" s="12" t="str">
        <f>'[1]Source'!F130</f>
        <v>м08-02-409-01</v>
      </c>
      <c r="C76" s="12" t="str">
        <f>'[1]Source'!G130</f>
        <v>Труба винипластовая по установленным конструкциям, по стенам и колоннам с креплением скобами, диаметр до 25 мм</v>
      </c>
      <c r="D76" s="30" t="str">
        <f>'[1]Source'!DW130</f>
        <v>100 м</v>
      </c>
      <c r="E76" s="1">
        <f>'[1]Source'!I130</f>
        <v>0.6</v>
      </c>
      <c r="F76" s="14">
        <f>'[1]Source'!AL130+'[1]Source'!AM130+'[1]Source'!AO130</f>
        <v>231.35999999999999</v>
      </c>
      <c r="G76" s="13"/>
      <c r="H76" s="15"/>
      <c r="I76" s="13">
        <f>'[1]Source'!BO130</f>
      </c>
      <c r="J76" s="13"/>
      <c r="K76" s="15"/>
      <c r="L76" s="31"/>
    </row>
    <row r="77" spans="1:12" ht="15">
      <c r="A77" s="11"/>
      <c r="B77" s="12"/>
      <c r="C77" s="12" t="s">
        <v>86</v>
      </c>
      <c r="D77" s="30"/>
      <c r="E77" s="1"/>
      <c r="F77" s="14">
        <f>'[1]Source'!AO130</f>
        <v>178.98</v>
      </c>
      <c r="G77" s="13">
        <f>'[1]Source'!DG130</f>
      </c>
      <c r="H77" s="15">
        <f>ROUND('[1]Source'!AF130*'[1]Source'!I130,2)</f>
        <v>107.39</v>
      </c>
      <c r="I77" s="13"/>
      <c r="J77" s="13">
        <f>IF('[1]Source'!BA130&lt;&gt;0,'[1]Source'!BA130,1)</f>
        <v>20.78</v>
      </c>
      <c r="K77" s="15">
        <f>'[1]Source'!S130</f>
        <v>2231.52</v>
      </c>
      <c r="L77" s="31"/>
    </row>
    <row r="78" spans="1:12" ht="15">
      <c r="A78" s="11"/>
      <c r="B78" s="12"/>
      <c r="C78" s="12" t="s">
        <v>62</v>
      </c>
      <c r="D78" s="30"/>
      <c r="E78" s="1"/>
      <c r="F78" s="14">
        <f>'[1]Source'!AM130</f>
        <v>33.49</v>
      </c>
      <c r="G78" s="13">
        <f>'[1]Source'!DE130</f>
      </c>
      <c r="H78" s="15">
        <f>ROUND('[1]Source'!AD130*'[1]Source'!I130,2)</f>
        <v>20.09</v>
      </c>
      <c r="I78" s="13"/>
      <c r="J78" s="13">
        <f>IF('[1]Source'!BB130&lt;&gt;0,'[1]Source'!BB130,1)</f>
        <v>7.79</v>
      </c>
      <c r="K78" s="15">
        <f>'[1]Source'!Q130</f>
        <v>156.53</v>
      </c>
      <c r="L78" s="31"/>
    </row>
    <row r="79" spans="1:12" ht="15">
      <c r="A79" s="11"/>
      <c r="B79" s="12"/>
      <c r="C79" s="12" t="s">
        <v>63</v>
      </c>
      <c r="D79" s="30"/>
      <c r="E79" s="1"/>
      <c r="F79" s="14">
        <f>'[1]Source'!AN130</f>
        <v>2.26</v>
      </c>
      <c r="G79" s="13">
        <f>'[1]Source'!DF130</f>
      </c>
      <c r="H79" s="20">
        <f>ROUND('[1]Source'!AE130*'[1]Source'!I130,2)</f>
        <v>1.36</v>
      </c>
      <c r="I79" s="13"/>
      <c r="J79" s="13">
        <f>IF('[1]Source'!BS130&lt;&gt;0,'[1]Source'!BS130,1)</f>
        <v>20.78</v>
      </c>
      <c r="K79" s="20">
        <f>'[1]Source'!R130</f>
        <v>28.18</v>
      </c>
      <c r="L79" s="31"/>
    </row>
    <row r="80" spans="1:12" ht="15">
      <c r="A80" s="11"/>
      <c r="B80" s="12"/>
      <c r="C80" s="12" t="s">
        <v>64</v>
      </c>
      <c r="D80" s="30"/>
      <c r="E80" s="1"/>
      <c r="F80" s="14">
        <f>'[1]Source'!AL130</f>
        <v>18.89</v>
      </c>
      <c r="G80" s="13">
        <f>'[1]Source'!DD130</f>
      </c>
      <c r="H80" s="15">
        <f>ROUND('[1]Source'!AC130*'[1]Source'!I130,2)</f>
        <v>11.33</v>
      </c>
      <c r="I80" s="13"/>
      <c r="J80" s="13">
        <f>IF('[1]Source'!BC130&lt;&gt;0,'[1]Source'!BC130,1)</f>
        <v>6.22</v>
      </c>
      <c r="K80" s="15">
        <f>'[1]Source'!P130</f>
        <v>70.5</v>
      </c>
      <c r="L80" s="31"/>
    </row>
    <row r="81" spans="1:12" ht="15">
      <c r="A81" s="11"/>
      <c r="B81" s="12"/>
      <c r="C81" s="12" t="s">
        <v>58</v>
      </c>
      <c r="D81" s="30" t="s">
        <v>59</v>
      </c>
      <c r="E81" s="1">
        <f>'[1]Source'!BZ130</f>
        <v>95</v>
      </c>
      <c r="F81" s="32"/>
      <c r="G81" s="13"/>
      <c r="H81" s="15">
        <f>SUM(S76:S83)</f>
        <v>0</v>
      </c>
      <c r="I81" s="33"/>
      <c r="J81" s="7">
        <f>'[1]Source'!AT130</f>
        <v>95</v>
      </c>
      <c r="K81" s="15">
        <f>SUM(T76:T83)</f>
        <v>0</v>
      </c>
      <c r="L81" s="31"/>
    </row>
    <row r="82" spans="1:12" ht="15">
      <c r="A82" s="11"/>
      <c r="B82" s="12"/>
      <c r="C82" s="12" t="s">
        <v>60</v>
      </c>
      <c r="D82" s="30" t="s">
        <v>59</v>
      </c>
      <c r="E82" s="1">
        <f>'[1]Source'!CA130</f>
        <v>65</v>
      </c>
      <c r="F82" s="32"/>
      <c r="G82" s="13"/>
      <c r="H82" s="15">
        <f>SUM(U76:U83)</f>
        <v>0</v>
      </c>
      <c r="I82" s="33"/>
      <c r="J82" s="7">
        <f>'[1]Source'!AU130</f>
        <v>65</v>
      </c>
      <c r="K82" s="15">
        <f>SUM(V76:V83)</f>
        <v>0</v>
      </c>
      <c r="L82" s="31"/>
    </row>
    <row r="83" spans="1:12" ht="15">
      <c r="A83" s="16"/>
      <c r="B83" s="17"/>
      <c r="C83" s="17" t="s">
        <v>87</v>
      </c>
      <c r="D83" s="34" t="s">
        <v>61</v>
      </c>
      <c r="E83" s="9">
        <f>'[1]Source'!AQ130</f>
        <v>19.04</v>
      </c>
      <c r="F83" s="19"/>
      <c r="G83" s="18">
        <f>'[1]Source'!DI130</f>
      </c>
      <c r="H83" s="8"/>
      <c r="I83" s="18"/>
      <c r="J83" s="18"/>
      <c r="K83" s="8"/>
      <c r="L83" s="35">
        <f>'[1]Source'!U130</f>
        <v>11.424</v>
      </c>
    </row>
    <row r="84" spans="7:12" ht="15">
      <c r="G84" s="96">
        <f>H77+H78+H80+H81+H82</f>
        <v>138.81</v>
      </c>
      <c r="H84" s="96"/>
      <c r="J84" s="96">
        <f>K77+K78+K80+K81+K82</f>
        <v>2458.55</v>
      </c>
      <c r="K84" s="96"/>
      <c r="L84" s="36">
        <f>'[1]Source'!U130</f>
        <v>11.424</v>
      </c>
    </row>
    <row r="85" spans="1:12" ht="71.25">
      <c r="A85" s="11" t="str">
        <f>'[1]Source'!E134</f>
        <v>4</v>
      </c>
      <c r="B85" s="12" t="str">
        <f>'[1]Source'!F134</f>
        <v>м08-02-412-03</v>
      </c>
      <c r="C85" s="12" t="str">
        <f>'[1]Source'!G134</f>
        <v>Затягивание провода в проложенные трубы и металлические рукава первого одножильного или многожильного в общей оплетке, суммарное сечение до 16 мм2</v>
      </c>
      <c r="D85" s="30" t="str">
        <f>'[1]Source'!DW134</f>
        <v>100 м</v>
      </c>
      <c r="E85" s="1">
        <f>'[1]Source'!I134</f>
        <v>0.6</v>
      </c>
      <c r="F85" s="14">
        <f>'[1]Source'!AL134+'[1]Source'!AM134+'[1]Source'!AO134</f>
        <v>87.15</v>
      </c>
      <c r="G85" s="13"/>
      <c r="H85" s="15"/>
      <c r="I85" s="13">
        <f>'[1]Source'!BO134</f>
      </c>
      <c r="J85" s="13"/>
      <c r="K85" s="15"/>
      <c r="L85" s="31"/>
    </row>
    <row r="86" spans="1:12" ht="15">
      <c r="A86" s="11"/>
      <c r="B86" s="12"/>
      <c r="C86" s="12" t="s">
        <v>86</v>
      </c>
      <c r="D86" s="30"/>
      <c r="E86" s="1"/>
      <c r="F86" s="14">
        <f>'[1]Source'!AO134</f>
        <v>59.13</v>
      </c>
      <c r="G86" s="13">
        <f>'[1]Source'!DG134</f>
      </c>
      <c r="H86" s="15">
        <f>ROUND('[1]Source'!AF134*'[1]Source'!I134,2)</f>
        <v>35.48</v>
      </c>
      <c r="I86" s="13"/>
      <c r="J86" s="13">
        <f>IF('[1]Source'!BA134&lt;&gt;0,'[1]Source'!BA134,1)</f>
        <v>20.78</v>
      </c>
      <c r="K86" s="15">
        <f>'[1]Source'!S134</f>
        <v>737.23</v>
      </c>
      <c r="L86" s="31"/>
    </row>
    <row r="87" spans="1:12" ht="15">
      <c r="A87" s="11"/>
      <c r="B87" s="12"/>
      <c r="C87" s="12" t="s">
        <v>62</v>
      </c>
      <c r="D87" s="30"/>
      <c r="E87" s="1"/>
      <c r="F87" s="14">
        <f>'[1]Source'!AM134</f>
        <v>5.33</v>
      </c>
      <c r="G87" s="13">
        <f>'[1]Source'!DE134</f>
      </c>
      <c r="H87" s="15">
        <f>ROUND('[1]Source'!AD134*'[1]Source'!I134,2)</f>
        <v>3.2</v>
      </c>
      <c r="I87" s="13"/>
      <c r="J87" s="13">
        <f>IF('[1]Source'!BB134&lt;&gt;0,'[1]Source'!BB134,1)</f>
        <v>7.79</v>
      </c>
      <c r="K87" s="15">
        <f>'[1]Source'!Q134</f>
        <v>24.91</v>
      </c>
      <c r="L87" s="31"/>
    </row>
    <row r="88" spans="1:12" ht="15">
      <c r="A88" s="11"/>
      <c r="B88" s="12"/>
      <c r="C88" s="12" t="s">
        <v>63</v>
      </c>
      <c r="D88" s="30"/>
      <c r="E88" s="1"/>
      <c r="F88" s="14">
        <f>'[1]Source'!AN134</f>
        <v>0.76</v>
      </c>
      <c r="G88" s="13">
        <f>'[1]Source'!DF134</f>
      </c>
      <c r="H88" s="20">
        <f>ROUND('[1]Source'!AE134*'[1]Source'!I134,2)</f>
        <v>0.46</v>
      </c>
      <c r="I88" s="13"/>
      <c r="J88" s="13">
        <f>IF('[1]Source'!BS134&lt;&gt;0,'[1]Source'!BS134,1)</f>
        <v>20.78</v>
      </c>
      <c r="K88" s="20">
        <f>'[1]Source'!R134</f>
        <v>9.48</v>
      </c>
      <c r="L88" s="31"/>
    </row>
    <row r="89" spans="1:12" ht="15">
      <c r="A89" s="11"/>
      <c r="B89" s="12"/>
      <c r="C89" s="12" t="s">
        <v>64</v>
      </c>
      <c r="D89" s="30"/>
      <c r="E89" s="1"/>
      <c r="F89" s="14">
        <f>'[1]Source'!AL134</f>
        <v>22.69</v>
      </c>
      <c r="G89" s="13">
        <f>'[1]Source'!DD134</f>
      </c>
      <c r="H89" s="15">
        <f>ROUND('[1]Source'!AC134*'[1]Source'!I134,2)</f>
        <v>13.61</v>
      </c>
      <c r="I89" s="13"/>
      <c r="J89" s="13">
        <f>IF('[1]Source'!BC134&lt;&gt;0,'[1]Source'!BC134,1)</f>
        <v>6.22</v>
      </c>
      <c r="K89" s="15">
        <f>'[1]Source'!P134</f>
        <v>84.68</v>
      </c>
      <c r="L89" s="31"/>
    </row>
    <row r="90" spans="1:12" ht="15">
      <c r="A90" s="11"/>
      <c r="B90" s="12"/>
      <c r="C90" s="12" t="s">
        <v>58</v>
      </c>
      <c r="D90" s="30" t="s">
        <v>59</v>
      </c>
      <c r="E90" s="1">
        <f>'[1]Source'!BZ134</f>
        <v>95</v>
      </c>
      <c r="F90" s="32"/>
      <c r="G90" s="13"/>
      <c r="H90" s="15">
        <f>SUM(S85:S92)</f>
        <v>0</v>
      </c>
      <c r="I90" s="33"/>
      <c r="J90" s="7">
        <f>'[1]Source'!AT134</f>
        <v>95</v>
      </c>
      <c r="K90" s="15">
        <f>SUM(T85:T92)</f>
        <v>0</v>
      </c>
      <c r="L90" s="31"/>
    </row>
    <row r="91" spans="1:12" ht="15">
      <c r="A91" s="11"/>
      <c r="B91" s="12"/>
      <c r="C91" s="12" t="s">
        <v>60</v>
      </c>
      <c r="D91" s="30" t="s">
        <v>59</v>
      </c>
      <c r="E91" s="1">
        <f>'[1]Source'!CA134</f>
        <v>65</v>
      </c>
      <c r="F91" s="32"/>
      <c r="G91" s="13"/>
      <c r="H91" s="15">
        <f>SUM(U85:U92)</f>
        <v>0</v>
      </c>
      <c r="I91" s="33"/>
      <c r="J91" s="7">
        <f>'[1]Source'!AU134</f>
        <v>65</v>
      </c>
      <c r="K91" s="15">
        <f>SUM(V85:V92)</f>
        <v>0</v>
      </c>
      <c r="L91" s="31"/>
    </row>
    <row r="92" spans="1:12" ht="15">
      <c r="A92" s="16"/>
      <c r="B92" s="17"/>
      <c r="C92" s="17" t="s">
        <v>87</v>
      </c>
      <c r="D92" s="34" t="s">
        <v>61</v>
      </c>
      <c r="E92" s="9">
        <f>'[1]Source'!AQ134</f>
        <v>6.29</v>
      </c>
      <c r="F92" s="19"/>
      <c r="G92" s="18">
        <f>'[1]Source'!DI134</f>
      </c>
      <c r="H92" s="8"/>
      <c r="I92" s="18"/>
      <c r="J92" s="18"/>
      <c r="K92" s="8"/>
      <c r="L92" s="35">
        <f>'[1]Source'!U134</f>
        <v>3.774</v>
      </c>
    </row>
    <row r="93" spans="7:12" ht="15">
      <c r="G93" s="96">
        <f>H86+H87+H89+H90+H91</f>
        <v>52.29</v>
      </c>
      <c r="H93" s="96"/>
      <c r="J93" s="96">
        <f>K86+K87+K89+K90+K91</f>
        <v>846.8199999999999</v>
      </c>
      <c r="K93" s="96"/>
      <c r="L93" s="36">
        <f>'[1]Source'!U134</f>
        <v>3.774</v>
      </c>
    </row>
    <row r="94" spans="1:12" ht="42.75">
      <c r="A94" s="11" t="str">
        <f>'[1]Source'!E138</f>
        <v>6</v>
      </c>
      <c r="B94" s="12" t="str">
        <f>'[1]Source'!F138</f>
        <v>м11-08-001-03</v>
      </c>
      <c r="C94" s="12" t="str">
        <f>'[1]Source'!G138</f>
        <v>Присоединение к приборам концов жил электрических проводок под винт без изготовления колец с обслуживанием</v>
      </c>
      <c r="D94" s="30" t="str">
        <f>'[1]Source'!DW138</f>
        <v>100 ШТ</v>
      </c>
      <c r="E94" s="1">
        <f>'[1]Source'!I138</f>
        <v>0.18</v>
      </c>
      <c r="F94" s="14">
        <f>'[1]Source'!AL138+'[1]Source'!AM138+'[1]Source'!AO138</f>
        <v>149.98</v>
      </c>
      <c r="G94" s="13"/>
      <c r="H94" s="15"/>
      <c r="I94" s="13">
        <f>'[1]Source'!BO138</f>
      </c>
      <c r="J94" s="13"/>
      <c r="K94" s="15"/>
      <c r="L94" s="31"/>
    </row>
    <row r="95" spans="1:12" ht="15">
      <c r="A95" s="11"/>
      <c r="B95" s="12"/>
      <c r="C95" s="12" t="s">
        <v>86</v>
      </c>
      <c r="D95" s="30"/>
      <c r="E95" s="1"/>
      <c r="F95" s="14">
        <f>'[1]Source'!AO138</f>
        <v>105.16</v>
      </c>
      <c r="G95" s="13">
        <f>'[1]Source'!DG138</f>
      </c>
      <c r="H95" s="15">
        <f>ROUND('[1]Source'!AF138*'[1]Source'!I138,2)</f>
        <v>18.93</v>
      </c>
      <c r="I95" s="13"/>
      <c r="J95" s="13">
        <f>IF('[1]Source'!BA138&lt;&gt;0,'[1]Source'!BA138,1)</f>
        <v>20.78</v>
      </c>
      <c r="K95" s="15">
        <f>'[1]Source'!S138</f>
        <v>393.34</v>
      </c>
      <c r="L95" s="31"/>
    </row>
    <row r="96" spans="1:12" ht="15">
      <c r="A96" s="11"/>
      <c r="B96" s="12"/>
      <c r="C96" s="12" t="s">
        <v>64</v>
      </c>
      <c r="D96" s="30"/>
      <c r="E96" s="1"/>
      <c r="F96" s="14">
        <f>'[1]Source'!AL138</f>
        <v>44.82</v>
      </c>
      <c r="G96" s="13">
        <f>'[1]Source'!DD138</f>
      </c>
      <c r="H96" s="15">
        <f>ROUND('[1]Source'!AC138*'[1]Source'!I138,2)</f>
        <v>8.07</v>
      </c>
      <c r="I96" s="13"/>
      <c r="J96" s="13">
        <f>IF('[1]Source'!BC138&lt;&gt;0,'[1]Source'!BC138,1)</f>
        <v>6.22</v>
      </c>
      <c r="K96" s="15">
        <f>'[1]Source'!P138</f>
        <v>50.18</v>
      </c>
      <c r="L96" s="31"/>
    </row>
    <row r="97" spans="1:12" ht="15">
      <c r="A97" s="11"/>
      <c r="B97" s="12"/>
      <c r="C97" s="12" t="s">
        <v>58</v>
      </c>
      <c r="D97" s="30" t="s">
        <v>59</v>
      </c>
      <c r="E97" s="1">
        <f>'[1]Source'!BZ138</f>
        <v>80</v>
      </c>
      <c r="F97" s="32"/>
      <c r="G97" s="13"/>
      <c r="H97" s="15">
        <f>SUM(S94:S99)</f>
        <v>0</v>
      </c>
      <c r="I97" s="33"/>
      <c r="J97" s="7">
        <f>'[1]Source'!AT138</f>
        <v>80</v>
      </c>
      <c r="K97" s="15">
        <f>SUM(T94:T99)</f>
        <v>0</v>
      </c>
      <c r="L97" s="31"/>
    </row>
    <row r="98" spans="1:12" ht="15">
      <c r="A98" s="11"/>
      <c r="B98" s="12"/>
      <c r="C98" s="12" t="s">
        <v>60</v>
      </c>
      <c r="D98" s="30" t="s">
        <v>59</v>
      </c>
      <c r="E98" s="1">
        <f>'[1]Source'!CA138</f>
        <v>60</v>
      </c>
      <c r="F98" s="32"/>
      <c r="G98" s="13"/>
      <c r="H98" s="15">
        <f>SUM(U94:U99)</f>
        <v>0</v>
      </c>
      <c r="I98" s="33"/>
      <c r="J98" s="7">
        <f>'[1]Source'!AU138</f>
        <v>60</v>
      </c>
      <c r="K98" s="15">
        <f>SUM(V94:V99)</f>
        <v>0</v>
      </c>
      <c r="L98" s="31"/>
    </row>
    <row r="99" spans="1:12" ht="15">
      <c r="A99" s="16"/>
      <c r="B99" s="17"/>
      <c r="C99" s="17" t="s">
        <v>87</v>
      </c>
      <c r="D99" s="34" t="s">
        <v>61</v>
      </c>
      <c r="E99" s="9">
        <f>'[1]Source'!AQ138</f>
        <v>10.3</v>
      </c>
      <c r="F99" s="19"/>
      <c r="G99" s="18">
        <f>'[1]Source'!DI138</f>
      </c>
      <c r="H99" s="8"/>
      <c r="I99" s="18"/>
      <c r="J99" s="18"/>
      <c r="K99" s="8"/>
      <c r="L99" s="35">
        <f>'[1]Source'!U138</f>
        <v>1.854</v>
      </c>
    </row>
    <row r="100" spans="7:12" ht="15">
      <c r="G100" s="96">
        <f>H95+H96+H97+H98</f>
        <v>27</v>
      </c>
      <c r="H100" s="96"/>
      <c r="J100" s="96">
        <f>K95+K96+K97+K98</f>
        <v>443.52</v>
      </c>
      <c r="K100" s="96"/>
      <c r="L100" s="36">
        <f>'[1]Source'!U138</f>
        <v>1.854</v>
      </c>
    </row>
    <row r="102" spans="1:12" ht="15">
      <c r="A102" s="93" t="str">
        <f>CONCATENATE("Итого по разделу: ",IF('[1]Source'!G140&lt;&gt;"Новый раздел",'[1]Source'!G140,""))</f>
        <v>Итого по разделу: Электромонтажные работы</v>
      </c>
      <c r="B102" s="93"/>
      <c r="C102" s="93"/>
      <c r="D102" s="93"/>
      <c r="E102" s="93"/>
      <c r="F102" s="93"/>
      <c r="G102" s="94">
        <f>SUM(O66:O101)</f>
        <v>0</v>
      </c>
      <c r="H102" s="94"/>
      <c r="I102" s="37"/>
      <c r="J102" s="94">
        <f>SUM(P66:P101)</f>
        <v>0</v>
      </c>
      <c r="K102" s="94"/>
      <c r="L102" s="36">
        <f>SUM(Q66:Q101)</f>
        <v>0</v>
      </c>
    </row>
    <row r="105" spans="3:11" ht="15">
      <c r="C105" s="91" t="str">
        <f>'[1]Source'!H168</f>
        <v>Итого</v>
      </c>
      <c r="D105" s="91"/>
      <c r="E105" s="91"/>
      <c r="F105" s="91"/>
      <c r="G105" s="91"/>
      <c r="H105" s="91"/>
      <c r="I105" s="91"/>
      <c r="J105" s="92">
        <f>IF('[1]Source'!P168=0,"",'[1]Source'!P168)</f>
        <v>12092.34</v>
      </c>
      <c r="K105" s="92"/>
    </row>
    <row r="106" spans="3:11" ht="15">
      <c r="C106" s="91" t="str">
        <f>'[1]Source'!H169</f>
        <v>НДС 20%</v>
      </c>
      <c r="D106" s="91"/>
      <c r="E106" s="91"/>
      <c r="F106" s="91"/>
      <c r="G106" s="91"/>
      <c r="H106" s="91"/>
      <c r="I106" s="91"/>
      <c r="J106" s="92">
        <f>IF('[1]Source'!P169=0,"",'[1]Source'!P169)</f>
        <v>2418.47</v>
      </c>
      <c r="K106" s="92"/>
    </row>
    <row r="107" spans="3:11" ht="15">
      <c r="C107" s="91" t="str">
        <f>'[1]Source'!H170</f>
        <v>Всего</v>
      </c>
      <c r="D107" s="91"/>
      <c r="E107" s="91"/>
      <c r="F107" s="91"/>
      <c r="G107" s="91"/>
      <c r="H107" s="91"/>
      <c r="I107" s="91"/>
      <c r="J107" s="92">
        <f>IF('[1]Source'!P170=0,"",'[1]Source'!P170)</f>
        <v>14510.81</v>
      </c>
      <c r="K107" s="92"/>
    </row>
    <row r="109" spans="1:12" ht="16.5">
      <c r="A109" s="95" t="str">
        <f>CONCATENATE("Раздел: ",IF('[1]Source'!G172&lt;&gt;"Новый раздел",'[1]Source'!G172,""))</f>
        <v>Раздел: Пусконаладочные работы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 ht="28.5">
      <c r="A110" s="11" t="str">
        <f>'[1]Source'!E177</f>
        <v>1</v>
      </c>
      <c r="B110" s="12" t="str">
        <f>'[1]Source'!F177</f>
        <v>п07-10-015-02</v>
      </c>
      <c r="C110" s="12" t="str">
        <f>'[1]Source'!G177</f>
        <v>Узел учета тепловой энергии (УУТЭ) без диспетчеризации</v>
      </c>
      <c r="D110" s="30" t="str">
        <f>'[1]Source'!DW177</f>
        <v>КОМПЛ</v>
      </c>
      <c r="E110" s="1">
        <f>'[1]Source'!I177</f>
        <v>1</v>
      </c>
      <c r="F110" s="14">
        <f>'[1]Source'!AL177+'[1]Source'!AM177+'[1]Source'!AO177</f>
        <v>3588.9</v>
      </c>
      <c r="G110" s="13"/>
      <c r="H110" s="15"/>
      <c r="I110" s="13">
        <f>'[1]Source'!BO177</f>
      </c>
      <c r="J110" s="13"/>
      <c r="K110" s="15"/>
      <c r="L110" s="31"/>
    </row>
    <row r="111" spans="1:12" ht="15">
      <c r="A111" s="11"/>
      <c r="B111" s="12"/>
      <c r="C111" s="12" t="s">
        <v>86</v>
      </c>
      <c r="D111" s="30"/>
      <c r="E111" s="1"/>
      <c r="F111" s="14">
        <f>'[1]Source'!AO177</f>
        <v>3588.9</v>
      </c>
      <c r="G111" s="13">
        <f>'[1]Source'!DG177</f>
      </c>
      <c r="H111" s="15">
        <f>ROUND('[1]Source'!AF177*'[1]Source'!I177,2)</f>
        <v>3588.9</v>
      </c>
      <c r="I111" s="13"/>
      <c r="J111" s="13">
        <f>IF('[1]Source'!BA177&lt;&gt;0,'[1]Source'!BA177,1)</f>
        <v>13.75</v>
      </c>
      <c r="K111" s="15">
        <f>'[1]Source'!S177</f>
        <v>49347.38</v>
      </c>
      <c r="L111" s="31"/>
    </row>
    <row r="112" spans="1:12" ht="15">
      <c r="A112" s="11"/>
      <c r="B112" s="12"/>
      <c r="C112" s="12" t="s">
        <v>58</v>
      </c>
      <c r="D112" s="30" t="s">
        <v>59</v>
      </c>
      <c r="E112" s="1">
        <f>'[1]Source'!BZ177</f>
        <v>65</v>
      </c>
      <c r="F112" s="32"/>
      <c r="G112" s="13"/>
      <c r="H112" s="15">
        <f>SUM(S110:S114)</f>
        <v>0</v>
      </c>
      <c r="I112" s="33"/>
      <c r="J112" s="7">
        <f>'[1]Source'!AT177</f>
        <v>65</v>
      </c>
      <c r="K112" s="15">
        <f>SUM(T110:T114)</f>
        <v>0</v>
      </c>
      <c r="L112" s="31"/>
    </row>
    <row r="113" spans="1:12" ht="15">
      <c r="A113" s="11"/>
      <c r="B113" s="12"/>
      <c r="C113" s="12" t="s">
        <v>60</v>
      </c>
      <c r="D113" s="30" t="s">
        <v>59</v>
      </c>
      <c r="E113" s="1">
        <f>'[1]Source'!CA177</f>
        <v>40</v>
      </c>
      <c r="F113" s="32"/>
      <c r="G113" s="13"/>
      <c r="H113" s="15">
        <f>SUM(U110:U114)</f>
        <v>0</v>
      </c>
      <c r="I113" s="33"/>
      <c r="J113" s="7">
        <f>'[1]Source'!AU177</f>
        <v>40</v>
      </c>
      <c r="K113" s="15">
        <f>SUM(V110:V114)</f>
        <v>0</v>
      </c>
      <c r="L113" s="31"/>
    </row>
    <row r="114" spans="1:12" ht="15">
      <c r="A114" s="16"/>
      <c r="B114" s="17"/>
      <c r="C114" s="17" t="s">
        <v>87</v>
      </c>
      <c r="D114" s="34" t="s">
        <v>61</v>
      </c>
      <c r="E114" s="9">
        <f>'[1]Source'!AQ177</f>
        <v>264</v>
      </c>
      <c r="F114" s="19"/>
      <c r="G114" s="18">
        <f>'[1]Source'!DI177</f>
      </c>
      <c r="H114" s="8"/>
      <c r="I114" s="18"/>
      <c r="J114" s="18"/>
      <c r="K114" s="8"/>
      <c r="L114" s="35">
        <f>'[1]Source'!U177</f>
        <v>264</v>
      </c>
    </row>
    <row r="115" spans="7:12" ht="15">
      <c r="G115" s="96">
        <f>H111+H112+H113</f>
        <v>3588.9</v>
      </c>
      <c r="H115" s="96"/>
      <c r="J115" s="96">
        <f>K111+K112+K113</f>
        <v>49347.38</v>
      </c>
      <c r="K115" s="96"/>
      <c r="L115" s="36">
        <f>'[1]Source'!U177</f>
        <v>264</v>
      </c>
    </row>
    <row r="117" spans="1:12" ht="15">
      <c r="A117" s="93" t="str">
        <f>CONCATENATE("Итого по разделу: ",IF('[1]Source'!G179&lt;&gt;"Новый раздел",'[1]Source'!G179,""))</f>
        <v>Итого по разделу: Пусконаладочные работы</v>
      </c>
      <c r="B117" s="93"/>
      <c r="C117" s="93"/>
      <c r="D117" s="93"/>
      <c r="E117" s="93"/>
      <c r="F117" s="93"/>
      <c r="G117" s="94">
        <f>SUM(O109:O116)</f>
        <v>0</v>
      </c>
      <c r="H117" s="94"/>
      <c r="I117" s="37"/>
      <c r="J117" s="94">
        <f>SUM(P109:P116)</f>
        <v>0</v>
      </c>
      <c r="K117" s="94"/>
      <c r="L117" s="36">
        <f>SUM(Q109:Q116)</f>
        <v>0</v>
      </c>
    </row>
    <row r="120" spans="3:11" ht="15">
      <c r="C120" s="91" t="str">
        <f>'[1]Source'!H207</f>
        <v>Итого</v>
      </c>
      <c r="D120" s="91"/>
      <c r="E120" s="91"/>
      <c r="F120" s="91"/>
      <c r="G120" s="91"/>
      <c r="H120" s="91"/>
      <c r="I120" s="91"/>
      <c r="J120" s="92">
        <f>IF('[1]Source'!P207=0,"",'[1]Source'!P207)</f>
        <v>101162.13</v>
      </c>
      <c r="K120" s="92"/>
    </row>
    <row r="121" spans="3:11" ht="15">
      <c r="C121" s="91" t="str">
        <f>'[1]Source'!H208</f>
        <v>НДС 20%</v>
      </c>
      <c r="D121" s="91"/>
      <c r="E121" s="91"/>
      <c r="F121" s="91"/>
      <c r="G121" s="91"/>
      <c r="H121" s="91"/>
      <c r="I121" s="91"/>
      <c r="J121" s="92">
        <f>IF('[1]Source'!P208=0,"",'[1]Source'!P208)</f>
        <v>20232.43</v>
      </c>
      <c r="K121" s="92"/>
    </row>
    <row r="122" spans="3:11" ht="15">
      <c r="C122" s="91" t="str">
        <f>'[1]Source'!H209</f>
        <v>Всего</v>
      </c>
      <c r="D122" s="91"/>
      <c r="E122" s="91"/>
      <c r="F122" s="91"/>
      <c r="G122" s="91"/>
      <c r="H122" s="91"/>
      <c r="I122" s="91"/>
      <c r="J122" s="92">
        <f>IF('[1]Source'!P209=0,"",'[1]Source'!P209)</f>
        <v>121394.56</v>
      </c>
      <c r="K122" s="92"/>
    </row>
    <row r="124" spans="1:12" ht="15">
      <c r="A124" s="93" t="str">
        <f>CONCATENATE("Итого по локальной смете: ",IF('[1]Source'!G211&lt;&gt;"Новая локальная смета",'[1]Source'!G211,""))</f>
        <v>Итого по локальной смете: </v>
      </c>
      <c r="B124" s="93"/>
      <c r="C124" s="93"/>
      <c r="D124" s="93"/>
      <c r="E124" s="93"/>
      <c r="F124" s="93"/>
      <c r="G124" s="94">
        <f>SUM(O37:O123)</f>
        <v>0</v>
      </c>
      <c r="H124" s="94"/>
      <c r="I124" s="37"/>
      <c r="J124" s="94">
        <f>SUM(P37:P123)</f>
        <v>0</v>
      </c>
      <c r="K124" s="94"/>
      <c r="L124" s="36">
        <f>SUM(Q37:Q123)</f>
        <v>0</v>
      </c>
    </row>
    <row r="127" spans="3:11" ht="15">
      <c r="C127" s="91" t="str">
        <f>'[1]Source'!H239</f>
        <v>Итого</v>
      </c>
      <c r="D127" s="91"/>
      <c r="E127" s="91"/>
      <c r="F127" s="91"/>
      <c r="G127" s="91"/>
      <c r="H127" s="91"/>
      <c r="I127" s="91"/>
      <c r="J127" s="92">
        <f>IF('[1]Source'!P239=0,"",'[1]Source'!P239)</f>
        <v>126713.84</v>
      </c>
      <c r="K127" s="92"/>
    </row>
    <row r="128" spans="3:11" ht="15">
      <c r="C128" s="91" t="str">
        <f>'[1]Source'!H240</f>
        <v>НДС 20%</v>
      </c>
      <c r="D128" s="91"/>
      <c r="E128" s="91"/>
      <c r="F128" s="91"/>
      <c r="G128" s="91"/>
      <c r="H128" s="91"/>
      <c r="I128" s="91"/>
      <c r="J128" s="92">
        <f>IF('[1]Source'!P240=0,"",'[1]Source'!P240)</f>
        <v>25342.77</v>
      </c>
      <c r="K128" s="92"/>
    </row>
    <row r="129" spans="1:12" ht="15">
      <c r="A129" s="38"/>
      <c r="B129" s="38"/>
      <c r="C129" s="93" t="str">
        <f>'[1]Source'!H241</f>
        <v>Всего</v>
      </c>
      <c r="D129" s="93"/>
      <c r="E129" s="93"/>
      <c r="F129" s="93"/>
      <c r="G129" s="93"/>
      <c r="H129" s="93"/>
      <c r="I129" s="93"/>
      <c r="J129" s="94">
        <f>IF('[1]Source'!P241=0,"",'[1]Source'!P241)</f>
        <v>152056.61</v>
      </c>
      <c r="K129" s="94"/>
      <c r="L129" s="38"/>
    </row>
  </sheetData>
  <sheetProtection/>
  <mergeCells count="102">
    <mergeCell ref="B2:E2"/>
    <mergeCell ref="H2:L2"/>
    <mergeCell ref="B3:E3"/>
    <mergeCell ref="H3:L3"/>
    <mergeCell ref="B5:E5"/>
    <mergeCell ref="H5:L5"/>
    <mergeCell ref="B6:E6"/>
    <mergeCell ref="H6:L6"/>
    <mergeCell ref="B9:K9"/>
    <mergeCell ref="B10:K10"/>
    <mergeCell ref="F12:G12"/>
    <mergeCell ref="H12:K12"/>
    <mergeCell ref="B14:K14"/>
    <mergeCell ref="B16:K16"/>
    <mergeCell ref="B18:K18"/>
    <mergeCell ref="B19:K19"/>
    <mergeCell ref="A21:L21"/>
    <mergeCell ref="G24:H24"/>
    <mergeCell ref="I24:J24"/>
    <mergeCell ref="C25:F25"/>
    <mergeCell ref="G25:H25"/>
    <mergeCell ref="I25:J25"/>
    <mergeCell ref="K25:L25"/>
    <mergeCell ref="C26:F26"/>
    <mergeCell ref="G26:H26"/>
    <mergeCell ref="I26:J26"/>
    <mergeCell ref="K26:L26"/>
    <mergeCell ref="C27:F27"/>
    <mergeCell ref="G27:H27"/>
    <mergeCell ref="I27:J27"/>
    <mergeCell ref="K27:L27"/>
    <mergeCell ref="C28:F28"/>
    <mergeCell ref="G28:H28"/>
    <mergeCell ref="I28:J28"/>
    <mergeCell ref="K28:L28"/>
    <mergeCell ref="C29:F29"/>
    <mergeCell ref="G29:H29"/>
    <mergeCell ref="I29:J29"/>
    <mergeCell ref="K29:L29"/>
    <mergeCell ref="C30:F30"/>
    <mergeCell ref="G30:H30"/>
    <mergeCell ref="I30:J30"/>
    <mergeCell ref="K30:L30"/>
    <mergeCell ref="C31:F31"/>
    <mergeCell ref="G31:H31"/>
    <mergeCell ref="I31:J31"/>
    <mergeCell ref="K31:L31"/>
    <mergeCell ref="A33:L33"/>
    <mergeCell ref="A37:L37"/>
    <mergeCell ref="A39:L39"/>
    <mergeCell ref="G48:H48"/>
    <mergeCell ref="J48:K48"/>
    <mergeCell ref="G57:H57"/>
    <mergeCell ref="J57:K57"/>
    <mergeCell ref="A59:F59"/>
    <mergeCell ref="G59:H59"/>
    <mergeCell ref="J59:K59"/>
    <mergeCell ref="C62:I62"/>
    <mergeCell ref="J62:K62"/>
    <mergeCell ref="C63:I63"/>
    <mergeCell ref="J63:K63"/>
    <mergeCell ref="C64:I64"/>
    <mergeCell ref="J64:K64"/>
    <mergeCell ref="A66:L66"/>
    <mergeCell ref="G75:H75"/>
    <mergeCell ref="J75:K75"/>
    <mergeCell ref="G84:H84"/>
    <mergeCell ref="J84:K84"/>
    <mergeCell ref="G93:H93"/>
    <mergeCell ref="J93:K93"/>
    <mergeCell ref="G100:H100"/>
    <mergeCell ref="J100:K100"/>
    <mergeCell ref="A102:F102"/>
    <mergeCell ref="G102:H102"/>
    <mergeCell ref="J102:K102"/>
    <mergeCell ref="C105:I105"/>
    <mergeCell ref="J105:K105"/>
    <mergeCell ref="C106:I106"/>
    <mergeCell ref="J106:K106"/>
    <mergeCell ref="C107:I107"/>
    <mergeCell ref="J107:K107"/>
    <mergeCell ref="A109:L109"/>
    <mergeCell ref="G115:H115"/>
    <mergeCell ref="J115:K115"/>
    <mergeCell ref="J127:K127"/>
    <mergeCell ref="A117:F117"/>
    <mergeCell ref="G117:H117"/>
    <mergeCell ref="J117:K117"/>
    <mergeCell ref="C120:I120"/>
    <mergeCell ref="J120:K120"/>
    <mergeCell ref="C121:I121"/>
    <mergeCell ref="J121:K121"/>
    <mergeCell ref="C128:I128"/>
    <mergeCell ref="J128:K128"/>
    <mergeCell ref="C129:I129"/>
    <mergeCell ref="J129:K129"/>
    <mergeCell ref="C122:I122"/>
    <mergeCell ref="J122:K122"/>
    <mergeCell ref="A124:F124"/>
    <mergeCell ref="G124:H124"/>
    <mergeCell ref="J124:K124"/>
    <mergeCell ref="C127:I1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03">
      <selection activeCell="C12" sqref="C12"/>
    </sheetView>
  </sheetViews>
  <sheetFormatPr defaultColWidth="9.140625" defaultRowHeight="1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6.5">
      <c r="A2" s="22"/>
      <c r="B2" s="109" t="s">
        <v>49</v>
      </c>
      <c r="C2" s="109"/>
      <c r="D2" s="109"/>
      <c r="E2" s="109"/>
      <c r="F2" s="2"/>
      <c r="G2" s="2"/>
      <c r="H2" s="109" t="s">
        <v>50</v>
      </c>
      <c r="I2" s="109"/>
      <c r="J2" s="109"/>
      <c r="K2" s="109"/>
      <c r="L2" s="109"/>
    </row>
    <row r="3" spans="1:12" ht="15">
      <c r="A3" s="2"/>
      <c r="B3" s="110"/>
      <c r="C3" s="110"/>
      <c r="D3" s="110"/>
      <c r="E3" s="110"/>
      <c r="F3" s="2"/>
      <c r="G3" s="2"/>
      <c r="H3" s="110"/>
      <c r="I3" s="110"/>
      <c r="J3" s="110"/>
      <c r="K3" s="110"/>
      <c r="L3" s="110"/>
    </row>
    <row r="4" spans="1:12" ht="15">
      <c r="A4" s="4"/>
      <c r="B4" s="4"/>
      <c r="C4" s="5"/>
      <c r="D4" s="5"/>
      <c r="E4" s="5"/>
      <c r="F4" s="2"/>
      <c r="G4" s="2"/>
      <c r="H4" s="3"/>
      <c r="I4" s="5"/>
      <c r="J4" s="5"/>
      <c r="K4" s="5"/>
      <c r="L4" s="3"/>
    </row>
    <row r="5" spans="1:12" ht="15">
      <c r="A5" s="3"/>
      <c r="B5" s="110" t="str">
        <f>CONCATENATE("______________________ ",IF('[2]Source'!AL12&lt;&gt;"",'[2]Source'!AL12,""))</f>
        <v>______________________ </v>
      </c>
      <c r="C5" s="110"/>
      <c r="D5" s="110"/>
      <c r="E5" s="110"/>
      <c r="F5" s="2"/>
      <c r="G5" s="2"/>
      <c r="H5" s="110" t="str">
        <f>CONCATENATE("______________________ ",IF('[2]Source'!AH12&lt;&gt;"",'[2]Source'!AH12,""))</f>
        <v>______________________ </v>
      </c>
      <c r="I5" s="110"/>
      <c r="J5" s="110"/>
      <c r="K5" s="110"/>
      <c r="L5" s="110"/>
    </row>
    <row r="6" spans="1:12" ht="15" customHeight="1">
      <c r="A6" s="6"/>
      <c r="B6" s="106" t="s">
        <v>51</v>
      </c>
      <c r="C6" s="106"/>
      <c r="D6" s="106"/>
      <c r="E6" s="106"/>
      <c r="F6" s="2"/>
      <c r="G6" s="2"/>
      <c r="H6" s="106" t="s">
        <v>51</v>
      </c>
      <c r="I6" s="106"/>
      <c r="J6" s="106"/>
      <c r="K6" s="106"/>
      <c r="L6" s="106"/>
    </row>
    <row r="9" spans="1:12" ht="15.75">
      <c r="A9" s="6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6"/>
    </row>
    <row r="10" spans="1:12" ht="15" customHeight="1">
      <c r="A10" s="21"/>
      <c r="B10" s="107" t="s">
        <v>52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6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2"/>
      <c r="B12" s="2"/>
      <c r="C12" s="2"/>
      <c r="D12" s="2"/>
      <c r="E12" s="2"/>
      <c r="F12" s="108" t="s">
        <v>65</v>
      </c>
      <c r="G12" s="108"/>
      <c r="H12" s="91">
        <f>IF('[2]Source'!F12&lt;&gt;"Новый объект",'[2]Source'!F12,"")</f>
      </c>
      <c r="I12" s="91"/>
      <c r="J12" s="91"/>
      <c r="K12" s="91"/>
      <c r="L12" s="24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>
      <c r="A14" s="25"/>
      <c r="B14" s="101" t="str">
        <f>CONCATENATE("ЛОКАЛЬНАЯ СМЕТА № ",IF('[2]Source'!F12&lt;&gt;"Новый объект",'[2]Source'!F12,""))</f>
        <v>ЛОКАЛЬНАЯ СМЕТА № </v>
      </c>
      <c r="C14" s="101"/>
      <c r="D14" s="101"/>
      <c r="E14" s="101"/>
      <c r="F14" s="101"/>
      <c r="G14" s="101"/>
      <c r="H14" s="101"/>
      <c r="I14" s="101"/>
      <c r="J14" s="101"/>
      <c r="K14" s="101"/>
      <c r="L14" s="25"/>
    </row>
    <row r="15" spans="1:12" ht="15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/>
    </row>
    <row r="16" spans="1:12" ht="18">
      <c r="A16" s="2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25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 customHeight="1">
      <c r="A18" s="2"/>
      <c r="B18" s="103" t="str">
        <f>IF('[2]Source'!G12&lt;&gt;"Новый объект",'[2]Source'!G12,"")</f>
        <v>Установка счетчика горячей воды в квартиру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6"/>
    </row>
    <row r="19" spans="1:12" ht="15" customHeight="1">
      <c r="A19" s="2"/>
      <c r="B19" s="104" t="s">
        <v>53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6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>
      <c r="A21" s="91" t="str">
        <f>CONCATENATE("Основание: ",'[2]Source'!J12)</f>
        <v>Основание: 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7"/>
      <c r="F24" s="27"/>
      <c r="G24" s="105" t="s">
        <v>66</v>
      </c>
      <c r="H24" s="105"/>
      <c r="I24" s="105" t="s">
        <v>67</v>
      </c>
      <c r="J24" s="105"/>
      <c r="K24" s="2"/>
      <c r="L24" s="2"/>
    </row>
    <row r="25" spans="1:12" ht="15">
      <c r="A25" s="2"/>
      <c r="B25" s="2"/>
      <c r="C25" s="97" t="s">
        <v>68</v>
      </c>
      <c r="D25" s="97"/>
      <c r="E25" s="97"/>
      <c r="F25" s="97"/>
      <c r="G25" s="92">
        <f>SUM(O1:O114)/1000</f>
        <v>0</v>
      </c>
      <c r="H25" s="92"/>
      <c r="I25" s="92">
        <f>J112/1000</f>
        <v>10.31899</v>
      </c>
      <c r="J25" s="92"/>
      <c r="K25" s="98" t="s">
        <v>54</v>
      </c>
      <c r="L25" s="98"/>
    </row>
    <row r="26" spans="1:12" ht="15">
      <c r="A26" s="2"/>
      <c r="B26" s="2"/>
      <c r="C26" s="100" t="s">
        <v>69</v>
      </c>
      <c r="D26" s="100"/>
      <c r="E26" s="100"/>
      <c r="F26" s="100"/>
      <c r="G26" s="92">
        <f>SUM(W1:W114)/1000</f>
        <v>0</v>
      </c>
      <c r="H26" s="92"/>
      <c r="I26" s="92">
        <f>('[2]Source'!P98)/1000</f>
        <v>8.59916</v>
      </c>
      <c r="J26" s="92"/>
      <c r="K26" s="98" t="s">
        <v>54</v>
      </c>
      <c r="L26" s="98"/>
    </row>
    <row r="27" spans="1:12" ht="15">
      <c r="A27" s="2"/>
      <c r="B27" s="2"/>
      <c r="C27" s="97" t="s">
        <v>73</v>
      </c>
      <c r="D27" s="97"/>
      <c r="E27" s="97"/>
      <c r="F27" s="97"/>
      <c r="G27" s="92">
        <f>I27</f>
        <v>10.630500000000001</v>
      </c>
      <c r="H27" s="92"/>
      <c r="I27" s="92">
        <f>('[2]Source'!P103+'[2]Source'!P104)</f>
        <v>10.630500000000001</v>
      </c>
      <c r="J27" s="92"/>
      <c r="K27" s="98" t="s">
        <v>74</v>
      </c>
      <c r="L27" s="98"/>
    </row>
    <row r="28" spans="1:12" ht="15">
      <c r="A28" s="2"/>
      <c r="B28" s="2"/>
      <c r="C28" s="97" t="s">
        <v>75</v>
      </c>
      <c r="D28" s="97"/>
      <c r="E28" s="97"/>
      <c r="F28" s="97"/>
      <c r="G28" s="92">
        <f>SUM(R1:R114)/1000</f>
        <v>0</v>
      </c>
      <c r="H28" s="92"/>
      <c r="I28" s="92">
        <f>(('[2]Source'!P96+'[2]Source'!P95)/1000)</f>
        <v>2.07792</v>
      </c>
      <c r="J28" s="92"/>
      <c r="K28" s="98" t="s">
        <v>54</v>
      </c>
      <c r="L28" s="98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99" t="s">
        <v>76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57">
      <c r="A31" s="10" t="s">
        <v>77</v>
      </c>
      <c r="B31" s="10" t="s">
        <v>55</v>
      </c>
      <c r="C31" s="10" t="s">
        <v>56</v>
      </c>
      <c r="D31" s="10" t="s">
        <v>78</v>
      </c>
      <c r="E31" s="10" t="s">
        <v>79</v>
      </c>
      <c r="F31" s="10" t="s">
        <v>80</v>
      </c>
      <c r="G31" s="10" t="s">
        <v>81</v>
      </c>
      <c r="H31" s="10" t="s">
        <v>82</v>
      </c>
      <c r="I31" s="10" t="s">
        <v>83</v>
      </c>
      <c r="J31" s="10" t="s">
        <v>84</v>
      </c>
      <c r="K31" s="10" t="s">
        <v>57</v>
      </c>
      <c r="L31" s="10" t="s">
        <v>85</v>
      </c>
    </row>
    <row r="32" spans="1:12" ht="15">
      <c r="A32" s="28">
        <v>1</v>
      </c>
      <c r="B32" s="28">
        <v>2</v>
      </c>
      <c r="C32" s="28">
        <v>3</v>
      </c>
      <c r="D32" s="28">
        <v>4</v>
      </c>
      <c r="E32" s="28">
        <v>5</v>
      </c>
      <c r="F32" s="28">
        <v>6</v>
      </c>
      <c r="G32" s="28">
        <v>7</v>
      </c>
      <c r="H32" s="28">
        <v>8</v>
      </c>
      <c r="I32" s="28">
        <v>9</v>
      </c>
      <c r="J32" s="28">
        <v>10</v>
      </c>
      <c r="K32" s="28">
        <v>11</v>
      </c>
      <c r="L32" s="29">
        <v>12</v>
      </c>
    </row>
    <row r="34" spans="1:12" ht="16.5" customHeight="1">
      <c r="A34" s="95" t="str">
        <f>CONCATENATE("Локальная смета: ",IF('[2]Source'!G20&lt;&gt;"Новая локальная смета",'[2]Source'!G20,""))</f>
        <v>Локальная смета: 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28.5">
      <c r="A35" s="11" t="str">
        <f>'[2]Source'!E25</f>
        <v>1</v>
      </c>
      <c r="B35" s="12" t="str">
        <f>'[2]Source'!F25</f>
        <v>65-23-1</v>
      </c>
      <c r="C35" s="12" t="str">
        <f>'[2]Source'!G25</f>
        <v>Слив и наполнение водой системы отопления без осмотра системы</v>
      </c>
      <c r="D35" s="30" t="str">
        <f>'[2]Source'!DW25</f>
        <v>1000 м3</v>
      </c>
      <c r="E35" s="1">
        <f>'[2]Source'!I25</f>
        <v>0.1</v>
      </c>
      <c r="F35" s="14">
        <f>'[2]Source'!AL25+'[2]Source'!AM25+'[2]Source'!AO25</f>
        <v>3.12</v>
      </c>
      <c r="G35" s="13"/>
      <c r="H35" s="15"/>
      <c r="I35" s="13">
        <f>'[2]Source'!BO25</f>
      </c>
      <c r="J35" s="13"/>
      <c r="K35" s="15"/>
      <c r="L35" s="31"/>
    </row>
    <row r="36" spans="1:12" ht="15">
      <c r="A36" s="11"/>
      <c r="B36" s="12"/>
      <c r="C36" s="12" t="s">
        <v>86</v>
      </c>
      <c r="D36" s="30"/>
      <c r="E36" s="1"/>
      <c r="F36" s="14">
        <f>'[2]Source'!AO25</f>
        <v>3.12</v>
      </c>
      <c r="G36" s="13">
        <f>'[2]Source'!DG25</f>
      </c>
      <c r="H36" s="15">
        <f>ROUND('[2]Source'!AF25*'[2]Source'!I25,2)</f>
        <v>0.31</v>
      </c>
      <c r="I36" s="13"/>
      <c r="J36" s="13">
        <f>IF('[2]Source'!BA25&lt;&gt;0,'[2]Source'!BA25,1)</f>
        <v>20.78</v>
      </c>
      <c r="K36" s="15">
        <f>'[2]Source'!S25</f>
        <v>6.48</v>
      </c>
      <c r="L36" s="31"/>
    </row>
    <row r="37" spans="1:12" ht="15">
      <c r="A37" s="11"/>
      <c r="B37" s="12"/>
      <c r="C37" s="12" t="s">
        <v>58</v>
      </c>
      <c r="D37" s="30" t="s">
        <v>59</v>
      </c>
      <c r="E37" s="1">
        <f>'[2]Source'!BZ25</f>
        <v>74</v>
      </c>
      <c r="F37" s="32"/>
      <c r="G37" s="13"/>
      <c r="H37" s="15">
        <f>SUM(S35:S39)</f>
        <v>0</v>
      </c>
      <c r="I37" s="33"/>
      <c r="J37" s="7">
        <f>'[2]Source'!AT25</f>
        <v>74</v>
      </c>
      <c r="K37" s="15">
        <f>SUM(T35:T39)</f>
        <v>0</v>
      </c>
      <c r="L37" s="31"/>
    </row>
    <row r="38" spans="1:12" ht="15">
      <c r="A38" s="11"/>
      <c r="B38" s="12"/>
      <c r="C38" s="12" t="s">
        <v>60</v>
      </c>
      <c r="D38" s="30" t="s">
        <v>59</v>
      </c>
      <c r="E38" s="1">
        <f>'[2]Source'!CA25</f>
        <v>50</v>
      </c>
      <c r="F38" s="32"/>
      <c r="G38" s="13"/>
      <c r="H38" s="15">
        <f>SUM(U35:U39)</f>
        <v>0</v>
      </c>
      <c r="I38" s="33"/>
      <c r="J38" s="7">
        <f>'[2]Source'!AU25</f>
        <v>50</v>
      </c>
      <c r="K38" s="15">
        <f>SUM(V35:V39)</f>
        <v>0</v>
      </c>
      <c r="L38" s="31"/>
    </row>
    <row r="39" spans="1:12" ht="15">
      <c r="A39" s="16"/>
      <c r="B39" s="17"/>
      <c r="C39" s="17" t="s">
        <v>87</v>
      </c>
      <c r="D39" s="34" t="s">
        <v>61</v>
      </c>
      <c r="E39" s="9">
        <f>'[2]Source'!AQ25</f>
        <v>0.41</v>
      </c>
      <c r="F39" s="19"/>
      <c r="G39" s="18">
        <f>'[2]Source'!DI25</f>
      </c>
      <c r="H39" s="8"/>
      <c r="I39" s="18"/>
      <c r="J39" s="18"/>
      <c r="K39" s="8"/>
      <c r="L39" s="35">
        <f>'[2]Source'!U25</f>
        <v>0.041</v>
      </c>
    </row>
    <row r="40" spans="7:12" ht="15">
      <c r="G40" s="96">
        <f>H36+H37+H38</f>
        <v>0.31</v>
      </c>
      <c r="H40" s="96"/>
      <c r="J40" s="96">
        <f>K36+K37+K38</f>
        <v>6.48</v>
      </c>
      <c r="K40" s="96"/>
      <c r="L40" s="36">
        <f>'[2]Source'!U25</f>
        <v>0.041</v>
      </c>
    </row>
    <row r="41" spans="1:12" ht="57">
      <c r="A41" s="11" t="str">
        <f>'[2]Source'!E27</f>
        <v>2</v>
      </c>
      <c r="B41" s="12" t="str">
        <f>'[2]Source'!F27</f>
        <v>65-15-1</v>
      </c>
      <c r="C41" s="12" t="str">
        <f>'[2]Source'!G27</f>
        <v>Смена отдельных участков трубопроводов с заготовкой труб в построечных условиях диаметром до 20 мм</v>
      </c>
      <c r="D41" s="30" t="str">
        <f>'[2]Source'!DW27</f>
        <v>100 м</v>
      </c>
      <c r="E41" s="1">
        <f>'[2]Source'!I27</f>
        <v>0.01</v>
      </c>
      <c r="F41" s="14">
        <f>'[2]Source'!AL27+'[2]Source'!AM27+'[2]Source'!AO27</f>
        <v>888.0600000000001</v>
      </c>
      <c r="G41" s="13"/>
      <c r="H41" s="15"/>
      <c r="I41" s="13">
        <f>'[2]Source'!BO27</f>
      </c>
      <c r="J41" s="13"/>
      <c r="K41" s="15"/>
      <c r="L41" s="31"/>
    </row>
    <row r="42" spans="1:12" ht="15">
      <c r="A42" s="11"/>
      <c r="B42" s="12"/>
      <c r="C42" s="12" t="s">
        <v>86</v>
      </c>
      <c r="D42" s="30"/>
      <c r="E42" s="1"/>
      <c r="F42" s="14">
        <f>'[2]Source'!AO27</f>
        <v>791.2</v>
      </c>
      <c r="G42" s="13">
        <f>'[2]Source'!DG27</f>
      </c>
      <c r="H42" s="15">
        <f>ROUND('[2]Source'!AF27*'[2]Source'!I27,2)</f>
        <v>7.91</v>
      </c>
      <c r="I42" s="13"/>
      <c r="J42" s="13">
        <f>IF('[2]Source'!BA27&lt;&gt;0,'[2]Source'!BA27,1)</f>
        <v>20.78</v>
      </c>
      <c r="K42" s="15">
        <f>'[2]Source'!S27</f>
        <v>164.41</v>
      </c>
      <c r="L42" s="31"/>
    </row>
    <row r="43" spans="1:12" ht="15">
      <c r="A43" s="11"/>
      <c r="B43" s="12"/>
      <c r="C43" s="12" t="s">
        <v>62</v>
      </c>
      <c r="D43" s="30"/>
      <c r="E43" s="1"/>
      <c r="F43" s="14">
        <f>'[2]Source'!AM27</f>
        <v>51.72</v>
      </c>
      <c r="G43" s="13">
        <f>'[2]Source'!DE27</f>
      </c>
      <c r="H43" s="15">
        <f>ROUND('[2]Source'!AD27*'[2]Source'!I27,2)</f>
        <v>0.52</v>
      </c>
      <c r="I43" s="13"/>
      <c r="J43" s="13">
        <f>IF('[2]Source'!BB27&lt;&gt;0,'[2]Source'!BB27,1)</f>
        <v>7.79</v>
      </c>
      <c r="K43" s="15">
        <f>'[2]Source'!Q27</f>
        <v>4.03</v>
      </c>
      <c r="L43" s="31"/>
    </row>
    <row r="44" spans="1:12" ht="15">
      <c r="A44" s="11"/>
      <c r="B44" s="12"/>
      <c r="C44" s="12" t="s">
        <v>63</v>
      </c>
      <c r="D44" s="30"/>
      <c r="E44" s="1"/>
      <c r="F44" s="14">
        <f>'[2]Source'!AN27</f>
        <v>2.51</v>
      </c>
      <c r="G44" s="13">
        <f>'[2]Source'!DF27</f>
      </c>
      <c r="H44" s="20">
        <f>ROUND('[2]Source'!AE27*'[2]Source'!I27,2)</f>
        <v>0.03</v>
      </c>
      <c r="I44" s="13"/>
      <c r="J44" s="13">
        <f>IF('[2]Source'!BS27&lt;&gt;0,'[2]Source'!BS27,1)</f>
        <v>20.78</v>
      </c>
      <c r="K44" s="20">
        <f>'[2]Source'!R27</f>
        <v>0.52</v>
      </c>
      <c r="L44" s="31"/>
    </row>
    <row r="45" spans="1:12" ht="15">
      <c r="A45" s="11"/>
      <c r="B45" s="12"/>
      <c r="C45" s="12" t="s">
        <v>64</v>
      </c>
      <c r="D45" s="30"/>
      <c r="E45" s="1"/>
      <c r="F45" s="14">
        <f>'[2]Source'!AL27</f>
        <v>45.14</v>
      </c>
      <c r="G45" s="13">
        <f>'[2]Source'!DD27</f>
      </c>
      <c r="H45" s="15">
        <f>ROUND('[2]Source'!AC27*'[2]Source'!I27,2)</f>
        <v>0.45</v>
      </c>
      <c r="I45" s="13"/>
      <c r="J45" s="13">
        <f>IF('[2]Source'!BC27&lt;&gt;0,'[2]Source'!BC27,1)</f>
        <v>6.18</v>
      </c>
      <c r="K45" s="15">
        <f>'[2]Source'!P27</f>
        <v>2.79</v>
      </c>
      <c r="L45" s="31"/>
    </row>
    <row r="46" spans="1:12" ht="15">
      <c r="A46" s="11"/>
      <c r="B46" s="12"/>
      <c r="C46" s="12" t="s">
        <v>58</v>
      </c>
      <c r="D46" s="30" t="s">
        <v>59</v>
      </c>
      <c r="E46" s="1">
        <f>'[2]Source'!BZ27</f>
        <v>103</v>
      </c>
      <c r="F46" s="32"/>
      <c r="G46" s="13"/>
      <c r="H46" s="15">
        <f>SUM(S41:S48)</f>
        <v>0</v>
      </c>
      <c r="I46" s="33"/>
      <c r="J46" s="7">
        <f>'[2]Source'!AT27</f>
        <v>103</v>
      </c>
      <c r="K46" s="15">
        <f>SUM(T41:T48)</f>
        <v>0</v>
      </c>
      <c r="L46" s="31"/>
    </row>
    <row r="47" spans="1:12" ht="15">
      <c r="A47" s="11"/>
      <c r="B47" s="12"/>
      <c r="C47" s="12" t="s">
        <v>60</v>
      </c>
      <c r="D47" s="30" t="s">
        <v>59</v>
      </c>
      <c r="E47" s="1">
        <f>'[2]Source'!CA27</f>
        <v>60</v>
      </c>
      <c r="F47" s="32"/>
      <c r="G47" s="13"/>
      <c r="H47" s="15">
        <f>SUM(U41:U48)</f>
        <v>0</v>
      </c>
      <c r="I47" s="33"/>
      <c r="J47" s="7">
        <f>'[2]Source'!AU27</f>
        <v>60</v>
      </c>
      <c r="K47" s="15">
        <f>SUM(V41:V48)</f>
        <v>0</v>
      </c>
      <c r="L47" s="31"/>
    </row>
    <row r="48" spans="1:12" ht="15">
      <c r="A48" s="16"/>
      <c r="B48" s="17"/>
      <c r="C48" s="17" t="s">
        <v>87</v>
      </c>
      <c r="D48" s="34" t="s">
        <v>61</v>
      </c>
      <c r="E48" s="9">
        <f>'[2]Source'!AQ27</f>
        <v>89.3</v>
      </c>
      <c r="F48" s="19"/>
      <c r="G48" s="18">
        <f>'[2]Source'!DI27</f>
      </c>
      <c r="H48" s="8"/>
      <c r="I48" s="18"/>
      <c r="J48" s="18"/>
      <c r="K48" s="8"/>
      <c r="L48" s="35">
        <f>'[2]Source'!U27</f>
        <v>0.893</v>
      </c>
    </row>
    <row r="49" spans="7:12" ht="15">
      <c r="G49" s="96">
        <f>H42+H43+H45+H46+H47</f>
        <v>8.879999999999999</v>
      </c>
      <c r="H49" s="96"/>
      <c r="J49" s="96">
        <f>K42+K43+K45+K46+K47</f>
        <v>171.23</v>
      </c>
      <c r="K49" s="96"/>
      <c r="L49" s="36">
        <f>'[2]Source'!U27</f>
        <v>0.893</v>
      </c>
    </row>
    <row r="50" spans="1:12" ht="28.5">
      <c r="A50" s="16" t="str">
        <f>'[2]Source'!E29</f>
        <v>3</v>
      </c>
      <c r="B50" s="17" t="str">
        <f>'[2]Source'!F29</f>
        <v>23.3.10.02-0101</v>
      </c>
      <c r="C50" s="17" t="str">
        <f>'[2]Source'!G29</f>
        <v>Трубы стальные</v>
      </c>
      <c r="D50" s="34" t="str">
        <f>'[2]Source'!DW29</f>
        <v>т</v>
      </c>
      <c r="E50" s="9">
        <f>'[2]Source'!I29</f>
        <v>0.003</v>
      </c>
      <c r="F50" s="19">
        <f>'[2]Source'!AL29</f>
        <v>7920</v>
      </c>
      <c r="G50" s="18">
        <f>'[2]Source'!DD29</f>
      </c>
      <c r="H50" s="8">
        <f>ROUND('[2]Source'!AC29*'[2]Source'!I29,2)</f>
        <v>23.76</v>
      </c>
      <c r="I50" s="18">
        <f>'[2]Source'!BO29</f>
      </c>
      <c r="J50" s="18">
        <f>IF('[2]Source'!BC29&lt;&gt;0,'[2]Source'!BC29,1)</f>
        <v>6.18</v>
      </c>
      <c r="K50" s="8">
        <f>'[2]Source'!P29</f>
        <v>146.84</v>
      </c>
      <c r="L50" s="51"/>
    </row>
    <row r="51" spans="7:12" ht="15">
      <c r="G51" s="96">
        <f>H50</f>
        <v>23.76</v>
      </c>
      <c r="H51" s="96"/>
      <c r="J51" s="96">
        <f>K50</f>
        <v>146.84</v>
      </c>
      <c r="K51" s="96"/>
      <c r="L51" s="36">
        <f>'[2]Source'!U29</f>
        <v>0</v>
      </c>
    </row>
    <row r="52" spans="1:12" ht="15">
      <c r="A52" s="11" t="str">
        <f>'[2]Source'!E31</f>
        <v>4</v>
      </c>
      <c r="B52" s="12" t="str">
        <f>'[2]Source'!F31</f>
        <v>65-3-13</v>
      </c>
      <c r="C52" s="12" t="str">
        <f>'[2]Source'!G31</f>
        <v>Снятие задвижек диаметром до 100 мм</v>
      </c>
      <c r="D52" s="30" t="str">
        <f>'[2]Source'!DW31</f>
        <v>100 ШТ</v>
      </c>
      <c r="E52" s="1">
        <f>'[2]Source'!I31</f>
        <v>0.01</v>
      </c>
      <c r="F52" s="14">
        <f>'[2]Source'!AL31+'[2]Source'!AM31+'[2]Source'!AO31</f>
        <v>820.73</v>
      </c>
      <c r="G52" s="13"/>
      <c r="H52" s="15"/>
      <c r="I52" s="13">
        <f>'[2]Source'!BO31</f>
      </c>
      <c r="J52" s="13"/>
      <c r="K52" s="15"/>
      <c r="L52" s="31"/>
    </row>
    <row r="53" spans="1:12" ht="15">
      <c r="A53" s="11"/>
      <c r="B53" s="12"/>
      <c r="C53" s="12" t="s">
        <v>86</v>
      </c>
      <c r="D53" s="30"/>
      <c r="E53" s="1"/>
      <c r="F53" s="14">
        <f>'[2]Source'!AO31</f>
        <v>812.91</v>
      </c>
      <c r="G53" s="13">
        <f>'[2]Source'!DG31</f>
      </c>
      <c r="H53" s="15">
        <f>ROUND('[2]Source'!AF31*'[2]Source'!I31,2)</f>
        <v>8.13</v>
      </c>
      <c r="I53" s="13"/>
      <c r="J53" s="13">
        <f>IF('[2]Source'!BA31&lt;&gt;0,'[2]Source'!BA31,1)</f>
        <v>20.78</v>
      </c>
      <c r="K53" s="15">
        <f>'[2]Source'!S31</f>
        <v>168.92</v>
      </c>
      <c r="L53" s="31"/>
    </row>
    <row r="54" spans="1:12" ht="15">
      <c r="A54" s="11"/>
      <c r="B54" s="12"/>
      <c r="C54" s="12" t="s">
        <v>62</v>
      </c>
      <c r="D54" s="30"/>
      <c r="E54" s="1"/>
      <c r="F54" s="14">
        <f>'[2]Source'!AM31</f>
        <v>7.82</v>
      </c>
      <c r="G54" s="13">
        <f>'[2]Source'!DE31</f>
      </c>
      <c r="H54" s="15">
        <f>ROUND('[2]Source'!AD31*'[2]Source'!I31,2)</f>
        <v>0.08</v>
      </c>
      <c r="I54" s="13"/>
      <c r="J54" s="13">
        <f>IF('[2]Source'!BB31&lt;&gt;0,'[2]Source'!BB31,1)</f>
        <v>7.79</v>
      </c>
      <c r="K54" s="15">
        <f>'[2]Source'!Q31</f>
        <v>0.61</v>
      </c>
      <c r="L54" s="31"/>
    </row>
    <row r="55" spans="1:12" ht="15">
      <c r="A55" s="11"/>
      <c r="B55" s="12"/>
      <c r="C55" s="12" t="s">
        <v>63</v>
      </c>
      <c r="D55" s="30"/>
      <c r="E55" s="1"/>
      <c r="F55" s="14">
        <f>'[2]Source'!AN31</f>
        <v>3.38</v>
      </c>
      <c r="G55" s="13">
        <f>'[2]Source'!DF31</f>
      </c>
      <c r="H55" s="20">
        <f>ROUND('[2]Source'!AE31*'[2]Source'!I31,2)</f>
        <v>0.03</v>
      </c>
      <c r="I55" s="13"/>
      <c r="J55" s="13">
        <f>IF('[2]Source'!BS31&lt;&gt;0,'[2]Source'!BS31,1)</f>
        <v>20.78</v>
      </c>
      <c r="K55" s="20">
        <f>'[2]Source'!R31</f>
        <v>0.7</v>
      </c>
      <c r="L55" s="31"/>
    </row>
    <row r="56" spans="1:12" ht="15">
      <c r="A56" s="11"/>
      <c r="B56" s="12"/>
      <c r="C56" s="12" t="s">
        <v>58</v>
      </c>
      <c r="D56" s="30" t="s">
        <v>59</v>
      </c>
      <c r="E56" s="1">
        <f>'[2]Source'!BZ31</f>
        <v>74</v>
      </c>
      <c r="F56" s="32"/>
      <c r="G56" s="13"/>
      <c r="H56" s="15">
        <f>SUM(S52:S58)</f>
        <v>0</v>
      </c>
      <c r="I56" s="33"/>
      <c r="J56" s="7">
        <f>'[2]Source'!AT31</f>
        <v>74</v>
      </c>
      <c r="K56" s="15">
        <f>SUM(T52:T58)</f>
        <v>0</v>
      </c>
      <c r="L56" s="31"/>
    </row>
    <row r="57" spans="1:12" ht="15">
      <c r="A57" s="11"/>
      <c r="B57" s="12"/>
      <c r="C57" s="12" t="s">
        <v>60</v>
      </c>
      <c r="D57" s="30" t="s">
        <v>59</v>
      </c>
      <c r="E57" s="1">
        <f>'[2]Source'!CA31</f>
        <v>50</v>
      </c>
      <c r="F57" s="32"/>
      <c r="G57" s="13"/>
      <c r="H57" s="15">
        <f>SUM(U52:U58)</f>
        <v>0</v>
      </c>
      <c r="I57" s="33"/>
      <c r="J57" s="7">
        <f>'[2]Source'!AU31</f>
        <v>50</v>
      </c>
      <c r="K57" s="15">
        <f>SUM(V52:V58)</f>
        <v>0</v>
      </c>
      <c r="L57" s="31"/>
    </row>
    <row r="58" spans="1:12" ht="15">
      <c r="A58" s="16"/>
      <c r="B58" s="17"/>
      <c r="C58" s="17" t="s">
        <v>87</v>
      </c>
      <c r="D58" s="34" t="s">
        <v>61</v>
      </c>
      <c r="E58" s="9">
        <f>'[2]Source'!AQ31</f>
        <v>95.3</v>
      </c>
      <c r="F58" s="19"/>
      <c r="G58" s="18">
        <f>'[2]Source'!DI31</f>
      </c>
      <c r="H58" s="8"/>
      <c r="I58" s="18"/>
      <c r="J58" s="18"/>
      <c r="K58" s="8"/>
      <c r="L58" s="35">
        <f>'[2]Source'!U31</f>
        <v>0.953</v>
      </c>
    </row>
    <row r="59" spans="7:12" ht="15">
      <c r="G59" s="96">
        <f>H53+H54+H56+H57</f>
        <v>8.21</v>
      </c>
      <c r="H59" s="96"/>
      <c r="J59" s="96">
        <f>K53+K54+K56+K57</f>
        <v>169.53</v>
      </c>
      <c r="K59" s="96"/>
      <c r="L59" s="36">
        <f>'[2]Source'!U31</f>
        <v>0.953</v>
      </c>
    </row>
    <row r="60" spans="1:12" ht="57">
      <c r="A60" s="11" t="str">
        <f>'[2]Source'!E33</f>
        <v>5</v>
      </c>
      <c r="B60" s="12" t="str">
        <f>'[2]Source'!F33</f>
        <v>16-05-001-01</v>
      </c>
      <c r="C60" s="12" t="str">
        <f>'[2]Source'!G33</f>
        <v>Установка вентилей, задвижек, затворов, клапанов обратных, кранов проходных на трубопроводах из стальных труб диаметром до 25 мм</v>
      </c>
      <c r="D60" s="30" t="str">
        <f>'[2]Source'!DW33</f>
        <v>ШТ</v>
      </c>
      <c r="E60" s="1">
        <f>'[2]Source'!I33</f>
        <v>2</v>
      </c>
      <c r="F60" s="14">
        <f>'[2]Source'!AL33+'[2]Source'!AM33+'[2]Source'!AO33</f>
        <v>42.04</v>
      </c>
      <c r="G60" s="13"/>
      <c r="H60" s="15"/>
      <c r="I60" s="13">
        <f>'[2]Source'!BO33</f>
      </c>
      <c r="J60" s="13"/>
      <c r="K60" s="15"/>
      <c r="L60" s="31"/>
    </row>
    <row r="61" spans="1:12" ht="15">
      <c r="A61" s="11"/>
      <c r="B61" s="12"/>
      <c r="C61" s="12" t="s">
        <v>86</v>
      </c>
      <c r="D61" s="30"/>
      <c r="E61" s="1"/>
      <c r="F61" s="14">
        <f>'[2]Source'!AO33</f>
        <v>13.33</v>
      </c>
      <c r="G61" s="13">
        <f>'[2]Source'!DG33</f>
      </c>
      <c r="H61" s="15">
        <f>ROUND('[2]Source'!AF33*'[2]Source'!I33,2)</f>
        <v>26.66</v>
      </c>
      <c r="I61" s="13"/>
      <c r="J61" s="13">
        <f>IF('[2]Source'!BA33&lt;&gt;0,'[2]Source'!BA33,1)</f>
        <v>20.78</v>
      </c>
      <c r="K61" s="15">
        <f>'[2]Source'!S33</f>
        <v>553.99</v>
      </c>
      <c r="L61" s="31"/>
    </row>
    <row r="62" spans="1:12" ht="15">
      <c r="A62" s="11"/>
      <c r="B62" s="12"/>
      <c r="C62" s="12" t="s">
        <v>62</v>
      </c>
      <c r="D62" s="30"/>
      <c r="E62" s="1"/>
      <c r="F62" s="14">
        <f>'[2]Source'!AM33</f>
        <v>3.5</v>
      </c>
      <c r="G62" s="13">
        <f>'[2]Source'!DE33</f>
      </c>
      <c r="H62" s="15">
        <f>ROUND('[2]Source'!AD33*'[2]Source'!I33,2)</f>
        <v>7</v>
      </c>
      <c r="I62" s="13"/>
      <c r="J62" s="13">
        <f>IF('[2]Source'!BB33&lt;&gt;0,'[2]Source'!BB33,1)</f>
        <v>7.79</v>
      </c>
      <c r="K62" s="15">
        <f>'[2]Source'!Q33</f>
        <v>54.53</v>
      </c>
      <c r="L62" s="31"/>
    </row>
    <row r="63" spans="1:12" ht="15">
      <c r="A63" s="11"/>
      <c r="B63" s="12"/>
      <c r="C63" s="12" t="s">
        <v>63</v>
      </c>
      <c r="D63" s="30"/>
      <c r="E63" s="1"/>
      <c r="F63" s="14">
        <f>'[2]Source'!AN33</f>
        <v>0.12</v>
      </c>
      <c r="G63" s="13">
        <f>'[2]Source'!DF33</f>
      </c>
      <c r="H63" s="20">
        <f>ROUND('[2]Source'!AE33*'[2]Source'!I33,2)</f>
        <v>0.24</v>
      </c>
      <c r="I63" s="13"/>
      <c r="J63" s="13">
        <f>IF('[2]Source'!BS33&lt;&gt;0,'[2]Source'!BS33,1)</f>
        <v>20.78</v>
      </c>
      <c r="K63" s="20">
        <f>'[2]Source'!R33</f>
        <v>4.99</v>
      </c>
      <c r="L63" s="31"/>
    </row>
    <row r="64" spans="1:12" ht="15">
      <c r="A64" s="11"/>
      <c r="B64" s="12"/>
      <c r="C64" s="12" t="s">
        <v>64</v>
      </c>
      <c r="D64" s="30"/>
      <c r="E64" s="1"/>
      <c r="F64" s="14">
        <f>'[2]Source'!AL33</f>
        <v>25.21</v>
      </c>
      <c r="G64" s="13">
        <f>'[2]Source'!DD33</f>
      </c>
      <c r="H64" s="15">
        <f>ROUND('[2]Source'!AC33*'[2]Source'!I33,2)</f>
        <v>50.42</v>
      </c>
      <c r="I64" s="13"/>
      <c r="J64" s="13">
        <f>IF('[2]Source'!BC33&lt;&gt;0,'[2]Source'!BC33,1)</f>
        <v>6.18</v>
      </c>
      <c r="K64" s="15">
        <f>'[2]Source'!P33</f>
        <v>311.6</v>
      </c>
      <c r="L64" s="31"/>
    </row>
    <row r="65" spans="1:12" ht="15">
      <c r="A65" s="11"/>
      <c r="B65" s="12"/>
      <c r="C65" s="12" t="s">
        <v>58</v>
      </c>
      <c r="D65" s="30" t="s">
        <v>59</v>
      </c>
      <c r="E65" s="1">
        <f>'[2]Source'!BZ33</f>
        <v>128</v>
      </c>
      <c r="F65" s="32"/>
      <c r="G65" s="13"/>
      <c r="H65" s="15">
        <f>SUM(S60:S67)</f>
        <v>0</v>
      </c>
      <c r="I65" s="33"/>
      <c r="J65" s="7">
        <f>'[2]Source'!AT33</f>
        <v>128</v>
      </c>
      <c r="K65" s="15">
        <f>SUM(T60:T67)</f>
        <v>0</v>
      </c>
      <c r="L65" s="31"/>
    </row>
    <row r="66" spans="1:12" ht="15">
      <c r="A66" s="11"/>
      <c r="B66" s="12"/>
      <c r="C66" s="12" t="s">
        <v>60</v>
      </c>
      <c r="D66" s="30" t="s">
        <v>59</v>
      </c>
      <c r="E66" s="1">
        <f>'[2]Source'!CA33</f>
        <v>83</v>
      </c>
      <c r="F66" s="32"/>
      <c r="G66" s="13"/>
      <c r="H66" s="15">
        <f>SUM(U60:U67)</f>
        <v>0</v>
      </c>
      <c r="I66" s="33"/>
      <c r="J66" s="7">
        <f>'[2]Source'!AU33</f>
        <v>83</v>
      </c>
      <c r="K66" s="15">
        <f>SUM(V60:V67)</f>
        <v>0</v>
      </c>
      <c r="L66" s="31"/>
    </row>
    <row r="67" spans="1:12" ht="15">
      <c r="A67" s="16"/>
      <c r="B67" s="17"/>
      <c r="C67" s="17" t="s">
        <v>87</v>
      </c>
      <c r="D67" s="34" t="s">
        <v>61</v>
      </c>
      <c r="E67" s="9">
        <f>'[2]Source'!AQ33</f>
        <v>1.47</v>
      </c>
      <c r="F67" s="19"/>
      <c r="G67" s="18">
        <f>'[2]Source'!DI33</f>
      </c>
      <c r="H67" s="8"/>
      <c r="I67" s="18"/>
      <c r="J67" s="18"/>
      <c r="K67" s="8"/>
      <c r="L67" s="35">
        <f>'[2]Source'!U33</f>
        <v>2.94</v>
      </c>
    </row>
    <row r="68" spans="7:12" ht="15">
      <c r="G68" s="96">
        <f>H61+H62+H64+H65+H66</f>
        <v>84.08</v>
      </c>
      <c r="H68" s="96"/>
      <c r="J68" s="96">
        <f>K61+K62+K64+K65+K66</f>
        <v>920.12</v>
      </c>
      <c r="K68" s="96"/>
      <c r="L68" s="36">
        <f>'[2]Source'!U33</f>
        <v>2.94</v>
      </c>
    </row>
    <row r="69" spans="1:12" ht="54">
      <c r="A69" s="16" t="str">
        <f>'[2]Source'!E35</f>
        <v>6</v>
      </c>
      <c r="B69" s="17" t="str">
        <f>'[2]Source'!F35</f>
        <v>Цена поставщика</v>
      </c>
      <c r="C69" s="17" t="s">
        <v>122</v>
      </c>
      <c r="D69" s="34" t="str">
        <f>'[2]Source'!DW35</f>
        <v>шт.</v>
      </c>
      <c r="E69" s="9">
        <f>'[2]Source'!I35</f>
        <v>2</v>
      </c>
      <c r="F69" s="19">
        <f>'[2]Source'!AL35</f>
        <v>67.29</v>
      </c>
      <c r="G69" s="18">
        <f>'[2]Source'!DD35</f>
      </c>
      <c r="H69" s="8">
        <f>ROUND('[2]Source'!AC35*'[2]Source'!I35,2)</f>
        <v>134.58</v>
      </c>
      <c r="I69" s="18">
        <f>'[2]Source'!BO35</f>
      </c>
      <c r="J69" s="18">
        <f>IF('[2]Source'!BC35&lt;&gt;0,'[2]Source'!BC35,1)</f>
        <v>6.18</v>
      </c>
      <c r="K69" s="8">
        <f>'[2]Source'!P35</f>
        <v>831.7</v>
      </c>
      <c r="L69" s="51"/>
    </row>
    <row r="70" spans="7:12" ht="15">
      <c r="G70" s="96">
        <f>H69</f>
        <v>134.58</v>
      </c>
      <c r="H70" s="96"/>
      <c r="J70" s="96">
        <f>K69</f>
        <v>831.7</v>
      </c>
      <c r="K70" s="96"/>
      <c r="L70" s="36">
        <f>'[2]Source'!U35</f>
        <v>0</v>
      </c>
    </row>
    <row r="71" spans="1:12" ht="28.5">
      <c r="A71" s="11" t="str">
        <f>'[2]Source'!E37</f>
        <v>9</v>
      </c>
      <c r="B71" s="12" t="str">
        <f>'[2]Source'!F37</f>
        <v>16-06-005-01</v>
      </c>
      <c r="C71" s="12" t="str">
        <f>'[2]Source'!G37</f>
        <v>Установка счетчиков (водомеров) диаметром до 40 мм</v>
      </c>
      <c r="D71" s="30" t="str">
        <f>'[2]Source'!DW37</f>
        <v>ШТ</v>
      </c>
      <c r="E71" s="1">
        <f>'[2]Source'!I37</f>
        <v>1</v>
      </c>
      <c r="F71" s="14">
        <f>'[2]Source'!AL37+'[2]Source'!AM37+'[2]Source'!AO37</f>
        <v>5.35</v>
      </c>
      <c r="G71" s="13"/>
      <c r="H71" s="15"/>
      <c r="I71" s="13">
        <f>'[2]Source'!BO37</f>
      </c>
      <c r="J71" s="13"/>
      <c r="K71" s="15"/>
      <c r="L71" s="31"/>
    </row>
    <row r="72" spans="1:12" ht="15">
      <c r="A72" s="11"/>
      <c r="B72" s="12"/>
      <c r="C72" s="12" t="s">
        <v>86</v>
      </c>
      <c r="D72" s="30"/>
      <c r="E72" s="1"/>
      <c r="F72" s="14">
        <f>'[2]Source'!AO37</f>
        <v>3.85</v>
      </c>
      <c r="G72" s="13">
        <f>'[2]Source'!DG37</f>
      </c>
      <c r="H72" s="15">
        <f>ROUND('[2]Source'!AF37*'[2]Source'!I37,2)</f>
        <v>3.85</v>
      </c>
      <c r="I72" s="13"/>
      <c r="J72" s="13">
        <f>IF('[2]Source'!BA37&lt;&gt;0,'[2]Source'!BA37,1)</f>
        <v>20.78</v>
      </c>
      <c r="K72" s="15">
        <f>'[2]Source'!S37</f>
        <v>80</v>
      </c>
      <c r="L72" s="31"/>
    </row>
    <row r="73" spans="1:12" ht="15">
      <c r="A73" s="11"/>
      <c r="B73" s="12"/>
      <c r="C73" s="12" t="s">
        <v>62</v>
      </c>
      <c r="D73" s="30"/>
      <c r="E73" s="1"/>
      <c r="F73" s="14">
        <f>'[2]Source'!AM37</f>
        <v>0.66</v>
      </c>
      <c r="G73" s="13">
        <f>'[2]Source'!DE37</f>
      </c>
      <c r="H73" s="15">
        <f>ROUND('[2]Source'!AD37*'[2]Source'!I37,2)</f>
        <v>0.66</v>
      </c>
      <c r="I73" s="13"/>
      <c r="J73" s="13">
        <f>IF('[2]Source'!BB37&lt;&gt;0,'[2]Source'!BB37,1)</f>
        <v>7.79</v>
      </c>
      <c r="K73" s="15">
        <f>'[2]Source'!Q37</f>
        <v>5.14</v>
      </c>
      <c r="L73" s="31"/>
    </row>
    <row r="74" spans="1:12" ht="15">
      <c r="A74" s="11"/>
      <c r="B74" s="12"/>
      <c r="C74" s="12" t="s">
        <v>63</v>
      </c>
      <c r="D74" s="30"/>
      <c r="E74" s="1"/>
      <c r="F74" s="14">
        <f>'[2]Source'!AN37</f>
        <v>0.12</v>
      </c>
      <c r="G74" s="13">
        <f>'[2]Source'!DF37</f>
      </c>
      <c r="H74" s="20">
        <f>ROUND('[2]Source'!AE37*'[2]Source'!I37,2)</f>
        <v>0.12</v>
      </c>
      <c r="I74" s="13"/>
      <c r="J74" s="13">
        <f>IF('[2]Source'!BS37&lt;&gt;0,'[2]Source'!BS37,1)</f>
        <v>20.78</v>
      </c>
      <c r="K74" s="20">
        <f>'[2]Source'!R37</f>
        <v>2.49</v>
      </c>
      <c r="L74" s="31"/>
    </row>
    <row r="75" spans="1:12" ht="15">
      <c r="A75" s="11"/>
      <c r="B75" s="12"/>
      <c r="C75" s="12" t="s">
        <v>64</v>
      </c>
      <c r="D75" s="30"/>
      <c r="E75" s="1"/>
      <c r="F75" s="14">
        <f>'[2]Source'!AL37</f>
        <v>0.84</v>
      </c>
      <c r="G75" s="13">
        <f>'[2]Source'!DD37</f>
      </c>
      <c r="H75" s="15">
        <f>ROUND('[2]Source'!AC37*'[2]Source'!I37,2)</f>
        <v>0.84</v>
      </c>
      <c r="I75" s="13"/>
      <c r="J75" s="13">
        <f>IF('[2]Source'!BC37&lt;&gt;0,'[2]Source'!BC37,1)</f>
        <v>6.18</v>
      </c>
      <c r="K75" s="15">
        <f>'[2]Source'!P37</f>
        <v>5.19</v>
      </c>
      <c r="L75" s="31"/>
    </row>
    <row r="76" spans="1:12" ht="15">
      <c r="A76" s="11"/>
      <c r="B76" s="12"/>
      <c r="C76" s="12" t="s">
        <v>58</v>
      </c>
      <c r="D76" s="30" t="s">
        <v>59</v>
      </c>
      <c r="E76" s="1">
        <f>'[2]Source'!BZ37</f>
        <v>128</v>
      </c>
      <c r="F76" s="32"/>
      <c r="G76" s="13"/>
      <c r="H76" s="15">
        <f>SUM(S71:S78)</f>
        <v>0</v>
      </c>
      <c r="I76" s="33"/>
      <c r="J76" s="7">
        <f>'[2]Source'!AT37</f>
        <v>128</v>
      </c>
      <c r="K76" s="15">
        <f>SUM(T71:T78)</f>
        <v>0</v>
      </c>
      <c r="L76" s="31"/>
    </row>
    <row r="77" spans="1:12" ht="15">
      <c r="A77" s="11"/>
      <c r="B77" s="12"/>
      <c r="C77" s="12" t="s">
        <v>60</v>
      </c>
      <c r="D77" s="30" t="s">
        <v>59</v>
      </c>
      <c r="E77" s="1">
        <f>'[2]Source'!CA37</f>
        <v>83</v>
      </c>
      <c r="F77" s="32"/>
      <c r="G77" s="13"/>
      <c r="H77" s="15">
        <f>SUM(U71:U78)</f>
        <v>0</v>
      </c>
      <c r="I77" s="33"/>
      <c r="J77" s="7">
        <f>'[2]Source'!AU37</f>
        <v>83</v>
      </c>
      <c r="K77" s="15">
        <f>SUM(V71:V78)</f>
        <v>0</v>
      </c>
      <c r="L77" s="31"/>
    </row>
    <row r="78" spans="1:12" ht="15">
      <c r="A78" s="16"/>
      <c r="B78" s="17"/>
      <c r="C78" s="17" t="s">
        <v>87</v>
      </c>
      <c r="D78" s="34" t="s">
        <v>61</v>
      </c>
      <c r="E78" s="9">
        <f>'[2]Source'!AQ37</f>
        <v>0.41</v>
      </c>
      <c r="F78" s="19"/>
      <c r="G78" s="18">
        <f>'[2]Source'!DI37</f>
      </c>
      <c r="H78" s="8"/>
      <c r="I78" s="18"/>
      <c r="J78" s="18"/>
      <c r="K78" s="8"/>
      <c r="L78" s="35">
        <f>'[2]Source'!U37</f>
        <v>0.41</v>
      </c>
    </row>
    <row r="79" spans="7:12" ht="15">
      <c r="G79" s="96">
        <f>H72+H73+H75+H76+H77</f>
        <v>5.35</v>
      </c>
      <c r="H79" s="96"/>
      <c r="J79" s="96">
        <f>K72+K73+K75+K76+K77</f>
        <v>90.33</v>
      </c>
      <c r="K79" s="96"/>
      <c r="L79" s="36">
        <f>'[2]Source'!U37</f>
        <v>0.41</v>
      </c>
    </row>
    <row r="80" spans="1:12" ht="42.75">
      <c r="A80" s="16" t="str">
        <f>'[2]Source'!E39</f>
        <v>10</v>
      </c>
      <c r="B80" s="17" t="str">
        <f>'[2]Source'!F39</f>
        <v>Цена поставщика</v>
      </c>
      <c r="C80" s="17" t="s">
        <v>123</v>
      </c>
      <c r="D80" s="34" t="str">
        <f>'[2]Source'!DW39</f>
        <v>шт.</v>
      </c>
      <c r="E80" s="9">
        <f>'[2]Source'!I39</f>
        <v>1</v>
      </c>
      <c r="F80" s="19">
        <f>'[2]Source'!AL39</f>
        <v>114.89</v>
      </c>
      <c r="G80" s="18">
        <f>'[2]Source'!DD39</f>
      </c>
      <c r="H80" s="8">
        <f>ROUND('[2]Source'!AC39*'[2]Source'!I39,2)</f>
        <v>114.89</v>
      </c>
      <c r="I80" s="18">
        <f>'[2]Source'!BO39</f>
      </c>
      <c r="J80" s="18">
        <f>IF('[2]Source'!BC39&lt;&gt;0,'[2]Source'!BC39,1)</f>
        <v>6.18</v>
      </c>
      <c r="K80" s="8">
        <f>'[2]Source'!P39</f>
        <v>710.02</v>
      </c>
      <c r="L80" s="51"/>
    </row>
    <row r="81" spans="7:12" ht="15">
      <c r="G81" s="96">
        <f>H80</f>
        <v>114.89</v>
      </c>
      <c r="H81" s="96"/>
      <c r="J81" s="96">
        <f>K80</f>
        <v>710.02</v>
      </c>
      <c r="K81" s="96"/>
      <c r="L81" s="36">
        <f>'[2]Source'!U39</f>
        <v>0</v>
      </c>
    </row>
    <row r="82" spans="1:12" ht="28.5">
      <c r="A82" s="11" t="str">
        <f>'[2]Source'!E41</f>
        <v>12</v>
      </c>
      <c r="B82" s="12" t="str">
        <f>'[2]Source'!F41</f>
        <v>18-06-007-02</v>
      </c>
      <c r="C82" s="12" t="str">
        <f>'[2]Source'!G41</f>
        <v>Установка фильтров диаметром 32 мм</v>
      </c>
      <c r="D82" s="30" t="str">
        <f>'[2]Source'!DW41</f>
        <v>10 ШТ</v>
      </c>
      <c r="E82" s="1">
        <f>'[2]Source'!I41</f>
        <v>0.1</v>
      </c>
      <c r="F82" s="14">
        <f>'[2]Source'!AL41+'[2]Source'!AM41+'[2]Source'!AO41</f>
        <v>132.61</v>
      </c>
      <c r="G82" s="13"/>
      <c r="H82" s="15"/>
      <c r="I82" s="13">
        <f>'[2]Source'!BO41</f>
      </c>
      <c r="J82" s="13"/>
      <c r="K82" s="15"/>
      <c r="L82" s="31"/>
    </row>
    <row r="83" spans="1:12" ht="15">
      <c r="A83" s="11"/>
      <c r="B83" s="12"/>
      <c r="C83" s="12" t="s">
        <v>86</v>
      </c>
      <c r="D83" s="30"/>
      <c r="E83" s="1"/>
      <c r="F83" s="14">
        <f>'[2]Source'!AO41</f>
        <v>76.89</v>
      </c>
      <c r="G83" s="13">
        <f>'[2]Source'!DG41</f>
      </c>
      <c r="H83" s="15">
        <f>ROUND('[2]Source'!AF41*'[2]Source'!I41,2)</f>
        <v>7.69</v>
      </c>
      <c r="I83" s="13"/>
      <c r="J83" s="13">
        <f>IF('[2]Source'!BA41&lt;&gt;0,'[2]Source'!BA41,1)</f>
        <v>20.78</v>
      </c>
      <c r="K83" s="15">
        <f>'[2]Source'!S41</f>
        <v>159.78</v>
      </c>
      <c r="L83" s="31"/>
    </row>
    <row r="84" spans="1:12" ht="15">
      <c r="A84" s="11"/>
      <c r="B84" s="12"/>
      <c r="C84" s="12" t="s">
        <v>62</v>
      </c>
      <c r="D84" s="30"/>
      <c r="E84" s="1"/>
      <c r="F84" s="14">
        <f>'[2]Source'!AM41</f>
        <v>47.43</v>
      </c>
      <c r="G84" s="13">
        <f>'[2]Source'!DE41</f>
      </c>
      <c r="H84" s="15">
        <f>ROUND('[2]Source'!AD41*'[2]Source'!I41,2)</f>
        <v>4.74</v>
      </c>
      <c r="I84" s="13"/>
      <c r="J84" s="13">
        <f>IF('[2]Source'!BB41&lt;&gt;0,'[2]Source'!BB41,1)</f>
        <v>7.79</v>
      </c>
      <c r="K84" s="15">
        <f>'[2]Source'!Q41</f>
        <v>36.95</v>
      </c>
      <c r="L84" s="31"/>
    </row>
    <row r="85" spans="1:12" ht="15">
      <c r="A85" s="11"/>
      <c r="B85" s="12"/>
      <c r="C85" s="12" t="s">
        <v>63</v>
      </c>
      <c r="D85" s="30"/>
      <c r="E85" s="1"/>
      <c r="F85" s="14">
        <f>'[2]Source'!AN41</f>
        <v>3.54</v>
      </c>
      <c r="G85" s="13">
        <f>'[2]Source'!DF41</f>
      </c>
      <c r="H85" s="20">
        <f>ROUND('[2]Source'!AE41*'[2]Source'!I41,2)</f>
        <v>0.35</v>
      </c>
      <c r="I85" s="13"/>
      <c r="J85" s="13">
        <f>IF('[2]Source'!BS41&lt;&gt;0,'[2]Source'!BS41,1)</f>
        <v>20.78</v>
      </c>
      <c r="K85" s="20">
        <f>'[2]Source'!R41</f>
        <v>7.36</v>
      </c>
      <c r="L85" s="31"/>
    </row>
    <row r="86" spans="1:12" ht="15">
      <c r="A86" s="11"/>
      <c r="B86" s="12"/>
      <c r="C86" s="12" t="s">
        <v>64</v>
      </c>
      <c r="D86" s="30"/>
      <c r="E86" s="1"/>
      <c r="F86" s="14">
        <f>'[2]Source'!AL41</f>
        <v>8.29</v>
      </c>
      <c r="G86" s="13">
        <f>'[2]Source'!DD41</f>
      </c>
      <c r="H86" s="15">
        <f>ROUND('[2]Source'!AC41*'[2]Source'!I41,2)</f>
        <v>0.83</v>
      </c>
      <c r="I86" s="13"/>
      <c r="J86" s="13">
        <f>IF('[2]Source'!BC41&lt;&gt;0,'[2]Source'!BC41,1)</f>
        <v>6.18</v>
      </c>
      <c r="K86" s="15">
        <f>'[2]Source'!P41</f>
        <v>5.12</v>
      </c>
      <c r="L86" s="31"/>
    </row>
    <row r="87" spans="1:12" ht="15">
      <c r="A87" s="11"/>
      <c r="B87" s="12"/>
      <c r="C87" s="12" t="s">
        <v>58</v>
      </c>
      <c r="D87" s="30" t="s">
        <v>59</v>
      </c>
      <c r="E87" s="1">
        <f>'[2]Source'!BZ41</f>
        <v>128</v>
      </c>
      <c r="F87" s="32"/>
      <c r="G87" s="13"/>
      <c r="H87" s="15">
        <f>SUM(S82:S89)</f>
        <v>0</v>
      </c>
      <c r="I87" s="33"/>
      <c r="J87" s="7">
        <f>'[2]Source'!AT41</f>
        <v>128</v>
      </c>
      <c r="K87" s="15">
        <f>SUM(T82:T89)</f>
        <v>0</v>
      </c>
      <c r="L87" s="31"/>
    </row>
    <row r="88" spans="1:12" ht="15">
      <c r="A88" s="11"/>
      <c r="B88" s="12"/>
      <c r="C88" s="12" t="s">
        <v>60</v>
      </c>
      <c r="D88" s="30" t="s">
        <v>59</v>
      </c>
      <c r="E88" s="1">
        <f>'[2]Source'!CA41</f>
        <v>83</v>
      </c>
      <c r="F88" s="32"/>
      <c r="G88" s="13"/>
      <c r="H88" s="15">
        <f>SUM(U82:U89)</f>
        <v>0</v>
      </c>
      <c r="I88" s="33"/>
      <c r="J88" s="7">
        <f>'[2]Source'!AU41</f>
        <v>83</v>
      </c>
      <c r="K88" s="15">
        <f>SUM(V82:V89)</f>
        <v>0</v>
      </c>
      <c r="L88" s="31"/>
    </row>
    <row r="89" spans="1:12" ht="15">
      <c r="A89" s="16"/>
      <c r="B89" s="17"/>
      <c r="C89" s="17" t="s">
        <v>87</v>
      </c>
      <c r="D89" s="34" t="s">
        <v>61</v>
      </c>
      <c r="E89" s="9">
        <f>'[2]Source'!AQ41</f>
        <v>8.18</v>
      </c>
      <c r="F89" s="19"/>
      <c r="G89" s="18">
        <f>'[2]Source'!DI41</f>
      </c>
      <c r="H89" s="8"/>
      <c r="I89" s="18"/>
      <c r="J89" s="18"/>
      <c r="K89" s="8"/>
      <c r="L89" s="35">
        <f>'[2]Source'!U41</f>
        <v>0.8180000000000001</v>
      </c>
    </row>
    <row r="90" spans="7:12" ht="15">
      <c r="G90" s="96">
        <f>H83+H84+H86+H87+H88</f>
        <v>13.26</v>
      </c>
      <c r="H90" s="96"/>
      <c r="J90" s="96">
        <f>K83+K84+K86+K87+K88</f>
        <v>201.85000000000002</v>
      </c>
      <c r="K90" s="96"/>
      <c r="L90" s="36">
        <f>'[2]Source'!U41</f>
        <v>0.8180000000000001</v>
      </c>
    </row>
    <row r="91" spans="1:12" ht="42.75">
      <c r="A91" s="16" t="str">
        <f>'[2]Source'!E43</f>
        <v>13</v>
      </c>
      <c r="B91" s="17" t="str">
        <f>'[2]Source'!F43</f>
        <v>Цена поставщика</v>
      </c>
      <c r="C91" s="17" t="s">
        <v>124</v>
      </c>
      <c r="D91" s="34" t="str">
        <f>'[2]Source'!DW43</f>
        <v>шт.</v>
      </c>
      <c r="E91" s="9">
        <f>'[2]Source'!I43</f>
        <v>1</v>
      </c>
      <c r="F91" s="19">
        <f>'[2]Source'!AL43</f>
        <v>29.26</v>
      </c>
      <c r="G91" s="18">
        <f>'[2]Source'!DD43</f>
      </c>
      <c r="H91" s="8">
        <f>ROUND('[2]Source'!AC43*'[2]Source'!I43,2)</f>
        <v>29.26</v>
      </c>
      <c r="I91" s="18">
        <f>'[2]Source'!BO43</f>
      </c>
      <c r="J91" s="18">
        <f>IF('[2]Source'!BC43&lt;&gt;0,'[2]Source'!BC43,1)</f>
        <v>6.18</v>
      </c>
      <c r="K91" s="8">
        <f>'[2]Source'!P43</f>
        <v>180.83</v>
      </c>
      <c r="L91" s="51"/>
    </row>
    <row r="92" spans="7:12" ht="15">
      <c r="G92" s="96">
        <f>H91</f>
        <v>29.26</v>
      </c>
      <c r="H92" s="96"/>
      <c r="J92" s="96">
        <f>K91</f>
        <v>180.83</v>
      </c>
      <c r="K92" s="96"/>
      <c r="L92" s="36">
        <f>'[2]Source'!U43</f>
        <v>0</v>
      </c>
    </row>
    <row r="93" spans="1:12" ht="28.5">
      <c r="A93" s="11" t="str">
        <f>'[2]Source'!E45</f>
        <v>14</v>
      </c>
      <c r="B93" s="12" t="str">
        <f>'[2]Source'!F45</f>
        <v>65-23-1</v>
      </c>
      <c r="C93" s="12" t="str">
        <f>'[2]Source'!G45</f>
        <v>Слив и наполнение водой системы отопления без осмотра системы</v>
      </c>
      <c r="D93" s="30" t="str">
        <f>'[2]Source'!DW45</f>
        <v>1000 м3</v>
      </c>
      <c r="E93" s="1">
        <f>'[2]Source'!I45</f>
        <v>0.1</v>
      </c>
      <c r="F93" s="14">
        <f>'[2]Source'!AL45+'[2]Source'!AM45+'[2]Source'!AO45</f>
        <v>3.12</v>
      </c>
      <c r="G93" s="13"/>
      <c r="H93" s="15"/>
      <c r="I93" s="13">
        <f>'[2]Source'!BO45</f>
      </c>
      <c r="J93" s="13"/>
      <c r="K93" s="15"/>
      <c r="L93" s="31"/>
    </row>
    <row r="94" spans="1:12" ht="15">
      <c r="A94" s="11"/>
      <c r="B94" s="12"/>
      <c r="C94" s="12" t="s">
        <v>86</v>
      </c>
      <c r="D94" s="30"/>
      <c r="E94" s="1"/>
      <c r="F94" s="14">
        <f>'[2]Source'!AO45</f>
        <v>3.12</v>
      </c>
      <c r="G94" s="13">
        <f>'[2]Source'!DG45</f>
      </c>
      <c r="H94" s="15">
        <f>ROUND('[2]Source'!AF45*'[2]Source'!I45,2)</f>
        <v>0.31</v>
      </c>
      <c r="I94" s="13"/>
      <c r="J94" s="13">
        <f>IF('[2]Source'!BA45&lt;&gt;0,'[2]Source'!BA45,1)</f>
        <v>20.78</v>
      </c>
      <c r="K94" s="15">
        <f>'[2]Source'!S45</f>
        <v>6.48</v>
      </c>
      <c r="L94" s="31"/>
    </row>
    <row r="95" spans="1:12" ht="15">
      <c r="A95" s="11"/>
      <c r="B95" s="12"/>
      <c r="C95" s="12" t="s">
        <v>58</v>
      </c>
      <c r="D95" s="30" t="s">
        <v>59</v>
      </c>
      <c r="E95" s="1">
        <f>'[2]Source'!BZ45</f>
        <v>74</v>
      </c>
      <c r="F95" s="32"/>
      <c r="G95" s="13"/>
      <c r="H95" s="15">
        <f>SUM(S93:S97)</f>
        <v>0</v>
      </c>
      <c r="I95" s="33"/>
      <c r="J95" s="7">
        <f>'[2]Source'!AT45</f>
        <v>74</v>
      </c>
      <c r="K95" s="15">
        <f>SUM(T93:T97)</f>
        <v>0</v>
      </c>
      <c r="L95" s="31"/>
    </row>
    <row r="96" spans="1:12" ht="15">
      <c r="A96" s="11"/>
      <c r="B96" s="12"/>
      <c r="C96" s="12" t="s">
        <v>60</v>
      </c>
      <c r="D96" s="30" t="s">
        <v>59</v>
      </c>
      <c r="E96" s="1">
        <f>'[2]Source'!CA45</f>
        <v>50</v>
      </c>
      <c r="F96" s="32"/>
      <c r="G96" s="13"/>
      <c r="H96" s="15">
        <f>SUM(U93:U97)</f>
        <v>0</v>
      </c>
      <c r="I96" s="33"/>
      <c r="J96" s="7">
        <f>'[2]Source'!AU45</f>
        <v>50</v>
      </c>
      <c r="K96" s="15">
        <f>SUM(V93:V97)</f>
        <v>0</v>
      </c>
      <c r="L96" s="31"/>
    </row>
    <row r="97" spans="1:12" ht="15">
      <c r="A97" s="16"/>
      <c r="B97" s="17"/>
      <c r="C97" s="17" t="s">
        <v>87</v>
      </c>
      <c r="D97" s="34" t="s">
        <v>61</v>
      </c>
      <c r="E97" s="9">
        <f>'[2]Source'!AQ45</f>
        <v>0.41</v>
      </c>
      <c r="F97" s="19"/>
      <c r="G97" s="18">
        <f>'[2]Source'!DI45</f>
      </c>
      <c r="H97" s="8"/>
      <c r="I97" s="18"/>
      <c r="J97" s="18"/>
      <c r="K97" s="8"/>
      <c r="L97" s="35">
        <f>'[2]Source'!U45</f>
        <v>0.041</v>
      </c>
    </row>
    <row r="98" spans="7:12" ht="15">
      <c r="G98" s="96">
        <f>H94+H95+H96</f>
        <v>0.31</v>
      </c>
      <c r="H98" s="96"/>
      <c r="J98" s="96">
        <f>K94+K95+K96</f>
        <v>6.48</v>
      </c>
      <c r="K98" s="96"/>
      <c r="L98" s="36">
        <f>'[2]Source'!U45</f>
        <v>0.041</v>
      </c>
    </row>
    <row r="99" spans="1:12" ht="42.75">
      <c r="A99" s="11" t="str">
        <f>'[2]Source'!E47</f>
        <v>15</v>
      </c>
      <c r="B99" s="12" t="str">
        <f>'[2]Source'!F47</f>
        <v>16-07-003-01</v>
      </c>
      <c r="C99" s="12" t="str">
        <f>'[2]Source'!G47</f>
        <v>Врезка в действующие внутренние сети трубопроводов отопления и водоснабжения диаметром 15 мм</v>
      </c>
      <c r="D99" s="30" t="str">
        <f>'[2]Source'!DW47</f>
        <v>ШТ</v>
      </c>
      <c r="E99" s="1">
        <f>'[2]Source'!I47</f>
        <v>1</v>
      </c>
      <c r="F99" s="14">
        <f>'[2]Source'!AL47+'[2]Source'!AM47+'[2]Source'!AO47</f>
        <v>58.870000000000005</v>
      </c>
      <c r="G99" s="13"/>
      <c r="H99" s="15"/>
      <c r="I99" s="13">
        <f>'[2]Source'!BO47</f>
      </c>
      <c r="J99" s="13"/>
      <c r="K99" s="15"/>
      <c r="L99" s="31"/>
    </row>
    <row r="100" spans="1:12" ht="15">
      <c r="A100" s="11"/>
      <c r="B100" s="12"/>
      <c r="C100" s="12" t="s">
        <v>86</v>
      </c>
      <c r="D100" s="30"/>
      <c r="E100" s="1"/>
      <c r="F100" s="14">
        <f>'[2]Source'!AO47</f>
        <v>44.24</v>
      </c>
      <c r="G100" s="13">
        <f>'[2]Source'!DG47</f>
      </c>
      <c r="H100" s="15">
        <f>ROUND('[2]Source'!AF47*'[2]Source'!I47,2)</f>
        <v>44.24</v>
      </c>
      <c r="I100" s="13"/>
      <c r="J100" s="13">
        <f>IF('[2]Source'!BA47&lt;&gt;0,'[2]Source'!BA47,1)</f>
        <v>20.78</v>
      </c>
      <c r="K100" s="15">
        <f>'[2]Source'!S47</f>
        <v>919.31</v>
      </c>
      <c r="L100" s="31"/>
    </row>
    <row r="101" spans="1:12" ht="15">
      <c r="A101" s="11"/>
      <c r="B101" s="12"/>
      <c r="C101" s="12" t="s">
        <v>62</v>
      </c>
      <c r="D101" s="30"/>
      <c r="E101" s="1"/>
      <c r="F101" s="14">
        <f>'[2]Source'!AM47</f>
        <v>4.73</v>
      </c>
      <c r="G101" s="13">
        <f>'[2]Source'!DE47</f>
      </c>
      <c r="H101" s="15">
        <f>ROUND('[2]Source'!AD47*'[2]Source'!I47,2)</f>
        <v>4.73</v>
      </c>
      <c r="I101" s="13"/>
      <c r="J101" s="13">
        <f>IF('[2]Source'!BB47&lt;&gt;0,'[2]Source'!BB47,1)</f>
        <v>7.79</v>
      </c>
      <c r="K101" s="15">
        <f>'[2]Source'!Q47</f>
        <v>36.85</v>
      </c>
      <c r="L101" s="31"/>
    </row>
    <row r="102" spans="1:12" ht="15">
      <c r="A102" s="11"/>
      <c r="B102" s="12"/>
      <c r="C102" s="12" t="s">
        <v>63</v>
      </c>
      <c r="D102" s="30"/>
      <c r="E102" s="1"/>
      <c r="F102" s="14">
        <f>'[2]Source'!AN47</f>
        <v>0.12</v>
      </c>
      <c r="G102" s="13">
        <f>'[2]Source'!DF47</f>
      </c>
      <c r="H102" s="20">
        <f>ROUND('[2]Source'!AE47*'[2]Source'!I47,2)</f>
        <v>0.12</v>
      </c>
      <c r="I102" s="13"/>
      <c r="J102" s="13">
        <f>IF('[2]Source'!BS47&lt;&gt;0,'[2]Source'!BS47,1)</f>
        <v>20.78</v>
      </c>
      <c r="K102" s="20">
        <f>'[2]Source'!R47</f>
        <v>2.49</v>
      </c>
      <c r="L102" s="31"/>
    </row>
    <row r="103" spans="1:12" ht="15">
      <c r="A103" s="11"/>
      <c r="B103" s="12"/>
      <c r="C103" s="12" t="s">
        <v>64</v>
      </c>
      <c r="D103" s="30"/>
      <c r="E103" s="1"/>
      <c r="F103" s="14">
        <f>'[2]Source'!AL47</f>
        <v>9.9</v>
      </c>
      <c r="G103" s="13">
        <f>'[2]Source'!DD47</f>
      </c>
      <c r="H103" s="15">
        <f>ROUND('[2]Source'!AC47*'[2]Source'!I47,2)</f>
        <v>9.9</v>
      </c>
      <c r="I103" s="13"/>
      <c r="J103" s="13">
        <f>IF('[2]Source'!BC47&lt;&gt;0,'[2]Source'!BC47,1)</f>
        <v>6.18</v>
      </c>
      <c r="K103" s="15">
        <f>'[2]Source'!P47</f>
        <v>61.18</v>
      </c>
      <c r="L103" s="31"/>
    </row>
    <row r="104" spans="1:12" ht="15">
      <c r="A104" s="11"/>
      <c r="B104" s="12"/>
      <c r="C104" s="12" t="s">
        <v>58</v>
      </c>
      <c r="D104" s="30" t="s">
        <v>59</v>
      </c>
      <c r="E104" s="1">
        <f>'[2]Source'!BZ47</f>
        <v>128</v>
      </c>
      <c r="F104" s="32"/>
      <c r="G104" s="13"/>
      <c r="H104" s="15">
        <f>SUM(S99:S106)</f>
        <v>0</v>
      </c>
      <c r="I104" s="33"/>
      <c r="J104" s="7">
        <f>'[2]Source'!AT47</f>
        <v>128</v>
      </c>
      <c r="K104" s="15">
        <f>SUM(T99:T106)</f>
        <v>0</v>
      </c>
      <c r="L104" s="31"/>
    </row>
    <row r="105" spans="1:12" ht="15">
      <c r="A105" s="11"/>
      <c r="B105" s="12"/>
      <c r="C105" s="12" t="s">
        <v>60</v>
      </c>
      <c r="D105" s="30" t="s">
        <v>59</v>
      </c>
      <c r="E105" s="1">
        <f>'[2]Source'!CA47</f>
        <v>83</v>
      </c>
      <c r="F105" s="32"/>
      <c r="G105" s="13"/>
      <c r="H105" s="15">
        <f>SUM(U99:U106)</f>
        <v>0</v>
      </c>
      <c r="I105" s="33"/>
      <c r="J105" s="7">
        <f>'[2]Source'!AU47</f>
        <v>83</v>
      </c>
      <c r="K105" s="15">
        <f>SUM(V99:V106)</f>
        <v>0</v>
      </c>
      <c r="L105" s="31"/>
    </row>
    <row r="106" spans="1:12" ht="15">
      <c r="A106" s="16"/>
      <c r="B106" s="17"/>
      <c r="C106" s="17" t="s">
        <v>87</v>
      </c>
      <c r="D106" s="34" t="s">
        <v>61</v>
      </c>
      <c r="E106" s="9">
        <f>'[2]Source'!AQ47</f>
        <v>4.46</v>
      </c>
      <c r="F106" s="19"/>
      <c r="G106" s="18">
        <f>'[2]Source'!DI47</f>
      </c>
      <c r="H106" s="8"/>
      <c r="I106" s="18"/>
      <c r="J106" s="18"/>
      <c r="K106" s="8"/>
      <c r="L106" s="35">
        <f>'[2]Source'!U47</f>
        <v>4.46</v>
      </c>
    </row>
    <row r="107" spans="7:12" ht="15">
      <c r="G107" s="96">
        <f>H100+H101+H103+H104+H105</f>
        <v>58.87</v>
      </c>
      <c r="H107" s="96"/>
      <c r="J107" s="96">
        <f>K100+K101+K103+K104+K105</f>
        <v>1017.3399999999999</v>
      </c>
      <c r="K107" s="96"/>
      <c r="L107" s="36">
        <f>'[2]Source'!U47</f>
        <v>4.46</v>
      </c>
    </row>
    <row r="109" spans="1:12" ht="15" customHeight="1">
      <c r="A109" s="93" t="str">
        <f>CONCATENATE("Итого по локальной смете: ",IF('[2]Source'!G49&lt;&gt;"Новая локальная смета",'[2]Source'!G49,""))</f>
        <v>Итого по локальной смете: </v>
      </c>
      <c r="B109" s="93"/>
      <c r="C109" s="93"/>
      <c r="D109" s="93"/>
      <c r="E109" s="93"/>
      <c r="F109" s="93"/>
      <c r="G109" s="94">
        <f>SUM(O34:O108)</f>
        <v>0</v>
      </c>
      <c r="H109" s="94"/>
      <c r="I109" s="37"/>
      <c r="J109" s="94">
        <f>SUM(P34:P108)</f>
        <v>0</v>
      </c>
      <c r="K109" s="94"/>
      <c r="L109" s="36">
        <f>SUM(Q34:Q108)</f>
        <v>0</v>
      </c>
    </row>
    <row r="110" spans="3:11" ht="15">
      <c r="C110" s="91" t="str">
        <f>'[2]Source'!H77</f>
        <v>Итого</v>
      </c>
      <c r="D110" s="91"/>
      <c r="E110" s="91"/>
      <c r="F110" s="91"/>
      <c r="G110" s="91"/>
      <c r="H110" s="91"/>
      <c r="I110" s="91"/>
      <c r="J110" s="92">
        <f>IF('[2]Source'!P77=0,"",'[2]Source'!P77)</f>
        <v>8599.16</v>
      </c>
      <c r="K110" s="92"/>
    </row>
    <row r="111" spans="3:11" ht="15">
      <c r="C111" s="91" t="str">
        <f>'[2]Source'!H78</f>
        <v>НДС 20%</v>
      </c>
      <c r="D111" s="91"/>
      <c r="E111" s="91"/>
      <c r="F111" s="91"/>
      <c r="G111" s="91"/>
      <c r="H111" s="91"/>
      <c r="I111" s="91"/>
      <c r="J111" s="92">
        <f>IF('[2]Source'!P78=0,"",'[2]Source'!P78)</f>
        <v>1719.83</v>
      </c>
      <c r="K111" s="92"/>
    </row>
    <row r="112" spans="1:12" ht="15">
      <c r="A112" s="38"/>
      <c r="B112" s="38"/>
      <c r="C112" s="93" t="str">
        <f>'[2]Source'!H79</f>
        <v>Всего</v>
      </c>
      <c r="D112" s="93"/>
      <c r="E112" s="93"/>
      <c r="F112" s="93"/>
      <c r="G112" s="93"/>
      <c r="H112" s="93"/>
      <c r="I112" s="93"/>
      <c r="J112" s="94">
        <f>IF('[2]Source'!P79=0,"",'[2]Source'!P79)</f>
        <v>10318.99</v>
      </c>
      <c r="K112" s="94"/>
      <c r="L112" s="38"/>
    </row>
  </sheetData>
  <sheetProtection/>
  <mergeCells count="70">
    <mergeCell ref="C112:I112"/>
    <mergeCell ref="J112:K112"/>
    <mergeCell ref="J98:K98"/>
    <mergeCell ref="G107:H107"/>
    <mergeCell ref="J107:K107"/>
    <mergeCell ref="A109:F109"/>
    <mergeCell ref="G109:H109"/>
    <mergeCell ref="J109:K109"/>
    <mergeCell ref="G98:H98"/>
    <mergeCell ref="C110:I110"/>
    <mergeCell ref="J68:K68"/>
    <mergeCell ref="G70:H70"/>
    <mergeCell ref="J70:K70"/>
    <mergeCell ref="G79:H79"/>
    <mergeCell ref="J79:K79"/>
    <mergeCell ref="G81:H81"/>
    <mergeCell ref="J81:K81"/>
    <mergeCell ref="G28:H28"/>
    <mergeCell ref="I28:J28"/>
    <mergeCell ref="K28:L28"/>
    <mergeCell ref="A30:L30"/>
    <mergeCell ref="A34:L34"/>
    <mergeCell ref="G40:H40"/>
    <mergeCell ref="J40:K40"/>
    <mergeCell ref="B2:E2"/>
    <mergeCell ref="H2:L2"/>
    <mergeCell ref="B3:E3"/>
    <mergeCell ref="H3:L3"/>
    <mergeCell ref="B5:E5"/>
    <mergeCell ref="H5:L5"/>
    <mergeCell ref="G24:H24"/>
    <mergeCell ref="I24:J24"/>
    <mergeCell ref="B6:E6"/>
    <mergeCell ref="H6:L6"/>
    <mergeCell ref="B9:K9"/>
    <mergeCell ref="B10:K10"/>
    <mergeCell ref="F12:G12"/>
    <mergeCell ref="H12:K12"/>
    <mergeCell ref="B14:K14"/>
    <mergeCell ref="B16:K16"/>
    <mergeCell ref="B18:K18"/>
    <mergeCell ref="B19:K19"/>
    <mergeCell ref="A21:L21"/>
    <mergeCell ref="C26:F26"/>
    <mergeCell ref="G26:H26"/>
    <mergeCell ref="I26:J26"/>
    <mergeCell ref="K26:L26"/>
    <mergeCell ref="C25:F25"/>
    <mergeCell ref="G25:H25"/>
    <mergeCell ref="I25:J25"/>
    <mergeCell ref="K25:L25"/>
    <mergeCell ref="C27:F27"/>
    <mergeCell ref="G27:H27"/>
    <mergeCell ref="I27:J27"/>
    <mergeCell ref="K27:L27"/>
    <mergeCell ref="G92:H92"/>
    <mergeCell ref="J92:K92"/>
    <mergeCell ref="J49:K49"/>
    <mergeCell ref="G49:H49"/>
    <mergeCell ref="C28:F28"/>
    <mergeCell ref="J110:K110"/>
    <mergeCell ref="C111:I111"/>
    <mergeCell ref="J111:K111"/>
    <mergeCell ref="J90:K90"/>
    <mergeCell ref="G90:H90"/>
    <mergeCell ref="J51:K51"/>
    <mergeCell ref="G51:H51"/>
    <mergeCell ref="G59:H59"/>
    <mergeCell ref="J59:K59"/>
    <mergeCell ref="G68:H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33">
      <selection activeCell="A21" sqref="A21:L22"/>
    </sheetView>
  </sheetViews>
  <sheetFormatPr defaultColWidth="9.140625" defaultRowHeight="1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6.5">
      <c r="A2" s="22"/>
      <c r="B2" s="109" t="s">
        <v>49</v>
      </c>
      <c r="C2" s="109"/>
      <c r="D2" s="109"/>
      <c r="E2" s="109"/>
      <c r="F2" s="2"/>
      <c r="G2" s="2"/>
      <c r="H2" s="109" t="s">
        <v>50</v>
      </c>
      <c r="I2" s="109"/>
      <c r="J2" s="109"/>
      <c r="K2" s="109"/>
      <c r="L2" s="109"/>
    </row>
    <row r="3" spans="1:12" ht="15">
      <c r="A3" s="2"/>
      <c r="B3" s="110"/>
      <c r="C3" s="110"/>
      <c r="D3" s="110"/>
      <c r="E3" s="110"/>
      <c r="F3" s="2"/>
      <c r="G3" s="2"/>
      <c r="H3" s="110"/>
      <c r="I3" s="110"/>
      <c r="J3" s="110"/>
      <c r="K3" s="110"/>
      <c r="L3" s="110"/>
    </row>
    <row r="4" spans="1:12" ht="15">
      <c r="A4" s="4"/>
      <c r="B4" s="4"/>
      <c r="C4" s="5"/>
      <c r="D4" s="5"/>
      <c r="E4" s="5"/>
      <c r="F4" s="2"/>
      <c r="G4" s="2"/>
      <c r="H4" s="3"/>
      <c r="I4" s="5"/>
      <c r="J4" s="5"/>
      <c r="K4" s="5"/>
      <c r="L4" s="3"/>
    </row>
    <row r="5" spans="1:12" ht="15">
      <c r="A5" s="3"/>
      <c r="B5" s="110" t="str">
        <f>CONCATENATE("______________________ ",IF('[3]Source'!AL12&lt;&gt;"",'[3]Source'!AL12,""))</f>
        <v>______________________ </v>
      </c>
      <c r="C5" s="110"/>
      <c r="D5" s="110"/>
      <c r="E5" s="110"/>
      <c r="F5" s="2"/>
      <c r="G5" s="2"/>
      <c r="H5" s="110" t="str">
        <f>CONCATENATE("______________________ ",IF('[3]Source'!AH12&lt;&gt;"",'[3]Source'!AH12,""))</f>
        <v>______________________ </v>
      </c>
      <c r="I5" s="110"/>
      <c r="J5" s="110"/>
      <c r="K5" s="110"/>
      <c r="L5" s="110"/>
    </row>
    <row r="6" spans="1:12" ht="15" customHeight="1">
      <c r="A6" s="6"/>
      <c r="B6" s="106" t="s">
        <v>51</v>
      </c>
      <c r="C6" s="106"/>
      <c r="D6" s="106"/>
      <c r="E6" s="106"/>
      <c r="F6" s="2"/>
      <c r="G6" s="2"/>
      <c r="H6" s="106" t="s">
        <v>51</v>
      </c>
      <c r="I6" s="106"/>
      <c r="J6" s="106"/>
      <c r="K6" s="106"/>
      <c r="L6" s="106"/>
    </row>
    <row r="9" spans="1:12" ht="15.75">
      <c r="A9" s="6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6"/>
    </row>
    <row r="10" spans="1:12" ht="15" customHeight="1">
      <c r="A10" s="21"/>
      <c r="B10" s="107" t="s">
        <v>52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6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108" t="s">
        <v>65</v>
      </c>
      <c r="G12" s="108"/>
      <c r="H12" s="91">
        <f>IF('[3]Source'!F12&lt;&gt;"Новый объект",'[3]Source'!F12,"")</f>
      </c>
      <c r="I12" s="91"/>
      <c r="J12" s="91"/>
      <c r="K12" s="91"/>
      <c r="L12" s="24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>
      <c r="A14" s="25"/>
      <c r="B14" s="101" t="str">
        <f>CONCATENATE("ЛОКАЛЬНАЯ СМЕТА № ",IF('[3]Source'!F12&lt;&gt;"Новый объект",'[3]Source'!F12,""))</f>
        <v>ЛОКАЛЬНАЯ СМЕТА № </v>
      </c>
      <c r="C14" s="101"/>
      <c r="D14" s="101"/>
      <c r="E14" s="101"/>
      <c r="F14" s="101"/>
      <c r="G14" s="101"/>
      <c r="H14" s="101"/>
      <c r="I14" s="101"/>
      <c r="J14" s="101"/>
      <c r="K14" s="101"/>
      <c r="L14" s="25"/>
    </row>
    <row r="15" spans="1:12" ht="15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/>
    </row>
    <row r="16" spans="1:12" ht="18">
      <c r="A16" s="2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25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 customHeight="1">
      <c r="A18" s="2"/>
      <c r="B18" s="103" t="str">
        <f>IF('[3]Source'!G12&lt;&gt;"Новый объект",'[3]Source'!G12,"")</f>
        <v>Объединение двух УУТЭ в один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6"/>
    </row>
    <row r="19" spans="1:12" ht="15" customHeight="1">
      <c r="A19" s="2"/>
      <c r="B19" s="104" t="s">
        <v>53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6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>
      <c r="A21" s="91" t="str">
        <f>CONCATENATE("Основание: ",'[3]Source'!J12)</f>
        <v>Основание: 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7"/>
      <c r="F24" s="27"/>
      <c r="G24" s="105" t="s">
        <v>66</v>
      </c>
      <c r="H24" s="105"/>
      <c r="I24" s="105" t="s">
        <v>67</v>
      </c>
      <c r="J24" s="105"/>
      <c r="K24" s="2"/>
      <c r="L24" s="2"/>
    </row>
    <row r="25" spans="1:12" ht="15">
      <c r="A25" s="2"/>
      <c r="B25" s="2"/>
      <c r="C25" s="97" t="s">
        <v>68</v>
      </c>
      <c r="D25" s="97"/>
      <c r="E25" s="97"/>
      <c r="F25" s="97"/>
      <c r="G25" s="92">
        <f>SUM(O1:O153)/1000</f>
        <v>0</v>
      </c>
      <c r="H25" s="92"/>
      <c r="I25" s="92">
        <f>J151/1000</f>
        <v>131.89992</v>
      </c>
      <c r="J25" s="92"/>
      <c r="K25" s="98" t="s">
        <v>54</v>
      </c>
      <c r="L25" s="98"/>
    </row>
    <row r="26" spans="1:12" ht="15">
      <c r="A26" s="2"/>
      <c r="B26" s="2"/>
      <c r="C26" s="100" t="s">
        <v>69</v>
      </c>
      <c r="D26" s="100"/>
      <c r="E26" s="100"/>
      <c r="F26" s="100"/>
      <c r="G26" s="92">
        <f>SUM(W1:W153)/1000</f>
        <v>0</v>
      </c>
      <c r="H26" s="92"/>
      <c r="I26" s="92">
        <f>('[3]Source'!P114)/1000</f>
        <v>101.61905</v>
      </c>
      <c r="J26" s="92"/>
      <c r="K26" s="98" t="s">
        <v>54</v>
      </c>
      <c r="L26" s="98"/>
    </row>
    <row r="27" spans="1:12" ht="15">
      <c r="A27" s="2"/>
      <c r="B27" s="2"/>
      <c r="C27" s="100" t="s">
        <v>70</v>
      </c>
      <c r="D27" s="100"/>
      <c r="E27" s="100"/>
      <c r="F27" s="100"/>
      <c r="G27" s="92">
        <f>SUM(X1:X153)/1000</f>
        <v>0</v>
      </c>
      <c r="H27" s="92"/>
      <c r="I27" s="92">
        <f>('[3]Source'!P115)/1000</f>
        <v>8.29755</v>
      </c>
      <c r="J27" s="92"/>
      <c r="K27" s="98" t="s">
        <v>54</v>
      </c>
      <c r="L27" s="98"/>
    </row>
    <row r="28" spans="1:12" ht="15">
      <c r="A28" s="2"/>
      <c r="B28" s="2"/>
      <c r="C28" s="97" t="s">
        <v>73</v>
      </c>
      <c r="D28" s="97"/>
      <c r="E28" s="97"/>
      <c r="F28" s="97"/>
      <c r="G28" s="92">
        <f>I28</f>
        <v>97.80867999999998</v>
      </c>
      <c r="H28" s="92"/>
      <c r="I28" s="92">
        <f>('[3]Source'!P119+'[3]Source'!P120)</f>
        <v>97.80867999999998</v>
      </c>
      <c r="J28" s="92"/>
      <c r="K28" s="98" t="s">
        <v>74</v>
      </c>
      <c r="L28" s="98"/>
    </row>
    <row r="29" spans="1:12" ht="15">
      <c r="A29" s="2"/>
      <c r="B29" s="2"/>
      <c r="C29" s="97" t="s">
        <v>75</v>
      </c>
      <c r="D29" s="97"/>
      <c r="E29" s="97"/>
      <c r="F29" s="97"/>
      <c r="G29" s="92">
        <f>SUM(R1:R153)/1000</f>
        <v>0</v>
      </c>
      <c r="H29" s="92"/>
      <c r="I29" s="92">
        <f>(('[3]Source'!P112+'[3]Source'!P111)/1000)</f>
        <v>19.52718</v>
      </c>
      <c r="J29" s="92"/>
      <c r="K29" s="98" t="s">
        <v>54</v>
      </c>
      <c r="L29" s="98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57">
      <c r="A32" s="10" t="s">
        <v>77</v>
      </c>
      <c r="B32" s="10" t="s">
        <v>55</v>
      </c>
      <c r="C32" s="10" t="s">
        <v>56</v>
      </c>
      <c r="D32" s="10" t="s">
        <v>78</v>
      </c>
      <c r="E32" s="10" t="s">
        <v>79</v>
      </c>
      <c r="F32" s="10" t="s">
        <v>80</v>
      </c>
      <c r="G32" s="10" t="s">
        <v>81</v>
      </c>
      <c r="H32" s="10" t="s">
        <v>82</v>
      </c>
      <c r="I32" s="10" t="s">
        <v>83</v>
      </c>
      <c r="J32" s="10" t="s">
        <v>84</v>
      </c>
      <c r="K32" s="10" t="s">
        <v>57</v>
      </c>
      <c r="L32" s="10" t="s">
        <v>85</v>
      </c>
    </row>
    <row r="33" spans="1:12" ht="15">
      <c r="A33" s="28">
        <v>1</v>
      </c>
      <c r="B33" s="28">
        <v>2</v>
      </c>
      <c r="C33" s="28">
        <v>3</v>
      </c>
      <c r="D33" s="28">
        <v>4</v>
      </c>
      <c r="E33" s="28">
        <v>5</v>
      </c>
      <c r="F33" s="28">
        <v>6</v>
      </c>
      <c r="G33" s="28">
        <v>7</v>
      </c>
      <c r="H33" s="28">
        <v>8</v>
      </c>
      <c r="I33" s="28">
        <v>9</v>
      </c>
      <c r="J33" s="28">
        <v>10</v>
      </c>
      <c r="K33" s="28">
        <v>11</v>
      </c>
      <c r="L33" s="29">
        <v>12</v>
      </c>
    </row>
    <row r="35" spans="1:12" ht="16.5" customHeight="1">
      <c r="A35" s="95" t="str">
        <f>CONCATENATE("Локальная смета: ",IF('[3]Source'!G20&lt;&gt;"Новая локальная смета",'[3]Source'!G20,""))</f>
        <v>Локальная смета: 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57">
      <c r="A36" s="11" t="str">
        <f>'[3]Source'!E25</f>
        <v>1</v>
      </c>
      <c r="B36" s="12" t="str">
        <f>'[3]Source'!F25</f>
        <v>24-01-003-01</v>
      </c>
      <c r="C36" s="12" t="str">
        <f>'[3]Source'!G25</f>
        <v>Прокладка стальных трубопроводов в проходном канале при номинальном давлении 1,6 МПа, температуре 150°С, диаметр труб 50 мм</v>
      </c>
      <c r="D36" s="30" t="str">
        <f>'[3]Source'!DW25</f>
        <v>км</v>
      </c>
      <c r="E36" s="1">
        <f>'[3]Source'!I25</f>
        <v>0.04</v>
      </c>
      <c r="F36" s="14">
        <f>'[3]Source'!AL25+'[3]Source'!AM25+'[3]Source'!AO25</f>
        <v>19748.03</v>
      </c>
      <c r="G36" s="13"/>
      <c r="H36" s="15"/>
      <c r="I36" s="13">
        <f>'[3]Source'!BO25</f>
      </c>
      <c r="J36" s="13"/>
      <c r="K36" s="15"/>
      <c r="L36" s="31"/>
    </row>
    <row r="37" spans="1:12" ht="16.5" customHeight="1">
      <c r="A37" s="11"/>
      <c r="B37" s="12"/>
      <c r="C37" s="12" t="s">
        <v>86</v>
      </c>
      <c r="D37" s="30"/>
      <c r="E37" s="1"/>
      <c r="F37" s="14">
        <f>'[3]Source'!AO25</f>
        <v>4606.72</v>
      </c>
      <c r="G37" s="13">
        <f>'[3]Source'!DG25</f>
      </c>
      <c r="H37" s="15">
        <f>ROUND('[3]Source'!AF25*'[3]Source'!I25,2)</f>
        <v>184.27</v>
      </c>
      <c r="I37" s="13"/>
      <c r="J37" s="13">
        <f>IF('[3]Source'!BA25&lt;&gt;0,'[3]Source'!BA25,1)</f>
        <v>20.78</v>
      </c>
      <c r="K37" s="15">
        <f>'[3]Source'!S25</f>
        <v>3829.11</v>
      </c>
      <c r="L37" s="31"/>
    </row>
    <row r="38" spans="1:12" ht="15">
      <c r="A38" s="11"/>
      <c r="B38" s="12"/>
      <c r="C38" s="12" t="s">
        <v>62</v>
      </c>
      <c r="D38" s="30"/>
      <c r="E38" s="1"/>
      <c r="F38" s="14">
        <f>'[3]Source'!AM25</f>
        <v>11231.42</v>
      </c>
      <c r="G38" s="13">
        <f>'[3]Source'!DE25</f>
      </c>
      <c r="H38" s="15">
        <f>ROUND('[3]Source'!AD25*'[3]Source'!I25,2)</f>
        <v>449.26</v>
      </c>
      <c r="I38" s="13"/>
      <c r="J38" s="13">
        <f>IF('[3]Source'!BB25&lt;&gt;0,'[3]Source'!BB25,1)</f>
        <v>7.79</v>
      </c>
      <c r="K38" s="15">
        <f>'[3]Source'!Q25</f>
        <v>3499.71</v>
      </c>
      <c r="L38" s="31"/>
    </row>
    <row r="39" spans="1:12" ht="15">
      <c r="A39" s="11"/>
      <c r="B39" s="12"/>
      <c r="C39" s="12" t="s">
        <v>63</v>
      </c>
      <c r="D39" s="30"/>
      <c r="E39" s="1"/>
      <c r="F39" s="14">
        <f>'[3]Source'!AN25</f>
        <v>937.02</v>
      </c>
      <c r="G39" s="13">
        <f>'[3]Source'!DF25</f>
      </c>
      <c r="H39" s="20">
        <f>ROUND('[3]Source'!AE25*'[3]Source'!I25,2)</f>
        <v>37.48</v>
      </c>
      <c r="I39" s="13"/>
      <c r="J39" s="13">
        <f>IF('[3]Source'!BS25&lt;&gt;0,'[3]Source'!BS25,1)</f>
        <v>20.78</v>
      </c>
      <c r="K39" s="20">
        <f>'[3]Source'!R25</f>
        <v>778.85</v>
      </c>
      <c r="L39" s="31"/>
    </row>
    <row r="40" spans="1:12" ht="15">
      <c r="A40" s="11"/>
      <c r="B40" s="12"/>
      <c r="C40" s="12" t="s">
        <v>64</v>
      </c>
      <c r="D40" s="30"/>
      <c r="E40" s="1"/>
      <c r="F40" s="14">
        <f>'[3]Source'!AL25</f>
        <v>3909.89</v>
      </c>
      <c r="G40" s="13">
        <f>'[3]Source'!DD25</f>
      </c>
      <c r="H40" s="15">
        <f>ROUND('[3]Source'!AC25*'[3]Source'!I25,2)</f>
        <v>156.4</v>
      </c>
      <c r="I40" s="13"/>
      <c r="J40" s="13">
        <f>IF('[3]Source'!BC25&lt;&gt;0,'[3]Source'!BC25,1)</f>
        <v>6.22</v>
      </c>
      <c r="K40" s="15">
        <f>'[3]Source'!P25</f>
        <v>972.78</v>
      </c>
      <c r="L40" s="31"/>
    </row>
    <row r="41" spans="1:12" ht="15">
      <c r="A41" s="11"/>
      <c r="B41" s="12"/>
      <c r="C41" s="12" t="s">
        <v>58</v>
      </c>
      <c r="D41" s="30" t="s">
        <v>59</v>
      </c>
      <c r="E41" s="1">
        <f>'[3]Source'!BZ25</f>
        <v>130</v>
      </c>
      <c r="F41" s="32"/>
      <c r="G41" s="13"/>
      <c r="H41" s="15">
        <f>SUM(S36:S43)</f>
        <v>0</v>
      </c>
      <c r="I41" s="33"/>
      <c r="J41" s="7">
        <f>'[3]Source'!AT25</f>
        <v>130</v>
      </c>
      <c r="K41" s="15">
        <f>SUM(T36:T43)</f>
        <v>0</v>
      </c>
      <c r="L41" s="31"/>
    </row>
    <row r="42" spans="1:12" ht="15">
      <c r="A42" s="11"/>
      <c r="B42" s="12"/>
      <c r="C42" s="12" t="s">
        <v>60</v>
      </c>
      <c r="D42" s="30" t="s">
        <v>59</v>
      </c>
      <c r="E42" s="1">
        <f>'[3]Source'!CA25</f>
        <v>89</v>
      </c>
      <c r="F42" s="32"/>
      <c r="G42" s="13"/>
      <c r="H42" s="15">
        <f>SUM(U36:U43)</f>
        <v>0</v>
      </c>
      <c r="I42" s="33"/>
      <c r="J42" s="7">
        <f>'[3]Source'!AU25</f>
        <v>89</v>
      </c>
      <c r="K42" s="15">
        <f>SUM(V36:V43)</f>
        <v>0</v>
      </c>
      <c r="L42" s="31"/>
    </row>
    <row r="43" spans="1:12" ht="15">
      <c r="A43" s="16"/>
      <c r="B43" s="17"/>
      <c r="C43" s="17" t="s">
        <v>87</v>
      </c>
      <c r="D43" s="34" t="s">
        <v>61</v>
      </c>
      <c r="E43" s="9">
        <f>'[3]Source'!AQ25</f>
        <v>472</v>
      </c>
      <c r="F43" s="19"/>
      <c r="G43" s="18">
        <f>'[3]Source'!DI25</f>
      </c>
      <c r="H43" s="8"/>
      <c r="I43" s="18"/>
      <c r="J43" s="18"/>
      <c r="K43" s="8"/>
      <c r="L43" s="35">
        <f>'[3]Source'!U25</f>
        <v>18.88</v>
      </c>
    </row>
    <row r="44" spans="7:12" ht="15">
      <c r="G44" s="96">
        <f>H37+H38+H40+H41+H42</f>
        <v>789.93</v>
      </c>
      <c r="H44" s="96"/>
      <c r="J44" s="96">
        <f>K37+K38+K40+K41+K42</f>
        <v>8301.6</v>
      </c>
      <c r="K44" s="96"/>
      <c r="L44" s="36">
        <f>'[3]Source'!U25</f>
        <v>18.88</v>
      </c>
    </row>
    <row r="45" spans="1:12" ht="28.5">
      <c r="A45" s="16" t="str">
        <f>'[3]Source'!E27</f>
        <v>2</v>
      </c>
      <c r="B45" s="17" t="str">
        <f>'[3]Source'!F27</f>
        <v>23.5.02.02-0011</v>
      </c>
      <c r="C45" s="17" t="str">
        <f>'[3]Source'!G27</f>
        <v>Трубы стальные электросварные прямошовные диаметром 50-80 мм</v>
      </c>
      <c r="D45" s="34" t="str">
        <f>'[3]Source'!DW27</f>
        <v>т</v>
      </c>
      <c r="E45" s="9">
        <f>'[3]Source'!I27</f>
        <v>0.209</v>
      </c>
      <c r="F45" s="19">
        <f>'[3]Source'!AL27</f>
        <v>9064.9</v>
      </c>
      <c r="G45" s="18">
        <f>'[3]Source'!DD27</f>
      </c>
      <c r="H45" s="8">
        <f>ROUND('[3]Source'!AC27*'[3]Source'!I27,2)</f>
        <v>1894.56</v>
      </c>
      <c r="I45" s="18">
        <f>'[3]Source'!BO27</f>
      </c>
      <c r="J45" s="18">
        <f>IF('[3]Source'!BC27&lt;&gt;0,'[3]Source'!BC27,1)</f>
        <v>6.22</v>
      </c>
      <c r="K45" s="8">
        <f>'[3]Source'!P27</f>
        <v>11784.19</v>
      </c>
      <c r="L45" s="51"/>
    </row>
    <row r="46" spans="7:12" ht="15">
      <c r="G46" s="96">
        <f>H45</f>
        <v>1894.56</v>
      </c>
      <c r="H46" s="96"/>
      <c r="J46" s="96">
        <f>K45</f>
        <v>11784.19</v>
      </c>
      <c r="K46" s="96"/>
      <c r="L46" s="36">
        <f>'[3]Source'!U27</f>
        <v>0</v>
      </c>
    </row>
    <row r="47" spans="1:12" ht="28.5">
      <c r="A47" s="11" t="str">
        <f>'[3]Source'!E29</f>
        <v>3</v>
      </c>
      <c r="B47" s="12" t="str">
        <f>'[3]Source'!F29</f>
        <v>13-06-003-01</v>
      </c>
      <c r="C47" s="12" t="str">
        <f>'[3]Source'!G29</f>
        <v>Очистка поверхности щетками</v>
      </c>
      <c r="D47" s="30" t="str">
        <f>'[3]Source'!DW29</f>
        <v>м2</v>
      </c>
      <c r="E47" s="1">
        <f>'[3]Source'!I29</f>
        <v>7.2</v>
      </c>
      <c r="F47" s="14">
        <f>'[3]Source'!AL29+'[3]Source'!AM29+'[3]Source'!AO29</f>
        <v>7.68</v>
      </c>
      <c r="G47" s="13"/>
      <c r="H47" s="15"/>
      <c r="I47" s="13">
        <f>'[3]Source'!BO29</f>
      </c>
      <c r="J47" s="13"/>
      <c r="K47" s="15"/>
      <c r="L47" s="31"/>
    </row>
    <row r="48" spans="1:12" ht="15">
      <c r="A48" s="11"/>
      <c r="B48" s="12"/>
      <c r="C48" s="12" t="s">
        <v>86</v>
      </c>
      <c r="D48" s="30"/>
      <c r="E48" s="1"/>
      <c r="F48" s="14">
        <f>'[3]Source'!AO29</f>
        <v>7.68</v>
      </c>
      <c r="G48" s="13">
        <f>'[3]Source'!DG29</f>
      </c>
      <c r="H48" s="15">
        <f>ROUND('[3]Source'!AF29*'[3]Source'!I29,2)</f>
        <v>55.3</v>
      </c>
      <c r="I48" s="13"/>
      <c r="J48" s="13">
        <f>IF('[3]Source'!BA29&lt;&gt;0,'[3]Source'!BA29,1)</f>
        <v>20.78</v>
      </c>
      <c r="K48" s="15">
        <f>'[3]Source'!S29</f>
        <v>1149.05</v>
      </c>
      <c r="L48" s="31"/>
    </row>
    <row r="49" spans="1:12" ht="15">
      <c r="A49" s="11"/>
      <c r="B49" s="12"/>
      <c r="C49" s="12" t="s">
        <v>58</v>
      </c>
      <c r="D49" s="30" t="s">
        <v>59</v>
      </c>
      <c r="E49" s="1">
        <f>'[3]Source'!BZ29</f>
        <v>90</v>
      </c>
      <c r="F49" s="32"/>
      <c r="G49" s="13"/>
      <c r="H49" s="15">
        <f>SUM(S47:S51)</f>
        <v>0</v>
      </c>
      <c r="I49" s="33"/>
      <c r="J49" s="7">
        <f>'[3]Source'!AT29</f>
        <v>90</v>
      </c>
      <c r="K49" s="15">
        <f>SUM(T47:T51)</f>
        <v>0</v>
      </c>
      <c r="L49" s="31"/>
    </row>
    <row r="50" spans="1:12" ht="15">
      <c r="A50" s="11"/>
      <c r="B50" s="12"/>
      <c r="C50" s="12" t="s">
        <v>60</v>
      </c>
      <c r="D50" s="30" t="s">
        <v>59</v>
      </c>
      <c r="E50" s="1">
        <f>'[3]Source'!CA29</f>
        <v>70</v>
      </c>
      <c r="F50" s="32"/>
      <c r="G50" s="13"/>
      <c r="H50" s="15">
        <f>SUM(U47:U51)</f>
        <v>0</v>
      </c>
      <c r="I50" s="33"/>
      <c r="J50" s="7">
        <f>'[3]Source'!AU29</f>
        <v>70</v>
      </c>
      <c r="K50" s="15">
        <f>SUM(V47:V51)</f>
        <v>0</v>
      </c>
      <c r="L50" s="31"/>
    </row>
    <row r="51" spans="1:12" ht="15">
      <c r="A51" s="16"/>
      <c r="B51" s="17"/>
      <c r="C51" s="17" t="s">
        <v>87</v>
      </c>
      <c r="D51" s="34" t="s">
        <v>61</v>
      </c>
      <c r="E51" s="9">
        <f>'[3]Source'!AQ29</f>
        <v>0.9</v>
      </c>
      <c r="F51" s="19"/>
      <c r="G51" s="18">
        <f>'[3]Source'!DI29</f>
      </c>
      <c r="H51" s="8"/>
      <c r="I51" s="18"/>
      <c r="J51" s="18"/>
      <c r="K51" s="8"/>
      <c r="L51" s="35">
        <f>'[3]Source'!U29</f>
        <v>6.48</v>
      </c>
    </row>
    <row r="52" spans="7:12" ht="15">
      <c r="G52" s="96">
        <f>H48+H49+H50</f>
        <v>55.3</v>
      </c>
      <c r="H52" s="96"/>
      <c r="J52" s="96">
        <f>K48+K49+K50</f>
        <v>1149.05</v>
      </c>
      <c r="K52" s="96"/>
      <c r="L52" s="36">
        <f>'[3]Source'!U29</f>
        <v>6.48</v>
      </c>
    </row>
    <row r="53" spans="1:12" ht="42.75">
      <c r="A53" s="11" t="str">
        <f>'[3]Source'!E31</f>
        <v>4</v>
      </c>
      <c r="B53" s="12" t="str">
        <f>'[3]Source'!F31</f>
        <v>13-07-001-02</v>
      </c>
      <c r="C53" s="12" t="str">
        <f>'[3]Source'!G31</f>
        <v>Обезжиривание поверхностей аппаратов и трубопроводов диаметром до 500 мм уайт-спиритом</v>
      </c>
      <c r="D53" s="30" t="str">
        <f>'[3]Source'!DW31</f>
        <v>100 м2</v>
      </c>
      <c r="E53" s="1">
        <f>'[3]Source'!I31</f>
        <v>0.072</v>
      </c>
      <c r="F53" s="14">
        <f>'[3]Source'!AL31+'[3]Source'!AM31+'[3]Source'!AO31</f>
        <v>304.03</v>
      </c>
      <c r="G53" s="13"/>
      <c r="H53" s="15"/>
      <c r="I53" s="13">
        <f>'[3]Source'!BO31</f>
      </c>
      <c r="J53" s="13"/>
      <c r="K53" s="15"/>
      <c r="L53" s="31"/>
    </row>
    <row r="54" spans="1:12" ht="15">
      <c r="A54" s="11"/>
      <c r="B54" s="12"/>
      <c r="C54" s="12" t="s">
        <v>86</v>
      </c>
      <c r="D54" s="30"/>
      <c r="E54" s="1"/>
      <c r="F54" s="14">
        <f>'[3]Source'!AO31</f>
        <v>79.36</v>
      </c>
      <c r="G54" s="13">
        <f>'[3]Source'!DG31</f>
      </c>
      <c r="H54" s="15">
        <f>ROUND('[3]Source'!AF31*'[3]Source'!I31,2)</f>
        <v>5.71</v>
      </c>
      <c r="I54" s="13"/>
      <c r="J54" s="13">
        <f>IF('[3]Source'!BA31&lt;&gt;0,'[3]Source'!BA31,1)</f>
        <v>20.78</v>
      </c>
      <c r="K54" s="15">
        <f>'[3]Source'!S31</f>
        <v>118.74</v>
      </c>
      <c r="L54" s="31"/>
    </row>
    <row r="55" spans="1:12" ht="15">
      <c r="A55" s="11"/>
      <c r="B55" s="12"/>
      <c r="C55" s="12" t="s">
        <v>62</v>
      </c>
      <c r="D55" s="30"/>
      <c r="E55" s="1"/>
      <c r="F55" s="14">
        <f>'[3]Source'!AM31</f>
        <v>2.23</v>
      </c>
      <c r="G55" s="13">
        <f>'[3]Source'!DE31</f>
      </c>
      <c r="H55" s="15">
        <f>ROUND('[3]Source'!AD31*'[3]Source'!I31,2)</f>
        <v>0.16</v>
      </c>
      <c r="I55" s="13"/>
      <c r="J55" s="13">
        <f>IF('[3]Source'!BB31&lt;&gt;0,'[3]Source'!BB31,1)</f>
        <v>7.79</v>
      </c>
      <c r="K55" s="15">
        <f>'[3]Source'!Q31</f>
        <v>1.25</v>
      </c>
      <c r="L55" s="31"/>
    </row>
    <row r="56" spans="1:12" ht="15">
      <c r="A56" s="11"/>
      <c r="B56" s="12"/>
      <c r="C56" s="12" t="s">
        <v>63</v>
      </c>
      <c r="D56" s="30"/>
      <c r="E56" s="1"/>
      <c r="F56" s="14">
        <f>'[3]Source'!AN31</f>
        <v>0.33</v>
      </c>
      <c r="G56" s="13">
        <f>'[3]Source'!DF31</f>
      </c>
      <c r="H56" s="20">
        <f>ROUND('[3]Source'!AE31*'[3]Source'!I31,2)</f>
        <v>0.02</v>
      </c>
      <c r="I56" s="13"/>
      <c r="J56" s="13">
        <f>IF('[3]Source'!BS31&lt;&gt;0,'[3]Source'!BS31,1)</f>
        <v>20.78</v>
      </c>
      <c r="K56" s="20">
        <f>'[3]Source'!R31</f>
        <v>0.49</v>
      </c>
      <c r="L56" s="31"/>
    </row>
    <row r="57" spans="1:12" ht="15">
      <c r="A57" s="11"/>
      <c r="B57" s="12"/>
      <c r="C57" s="12" t="s">
        <v>64</v>
      </c>
      <c r="D57" s="30"/>
      <c r="E57" s="1"/>
      <c r="F57" s="14">
        <f>'[3]Source'!AL31</f>
        <v>222.44</v>
      </c>
      <c r="G57" s="13">
        <f>'[3]Source'!DD31</f>
      </c>
      <c r="H57" s="15">
        <f>ROUND('[3]Source'!AC31*'[3]Source'!I31,2)</f>
        <v>16.02</v>
      </c>
      <c r="I57" s="13"/>
      <c r="J57" s="13">
        <f>IF('[3]Source'!BC31&lt;&gt;0,'[3]Source'!BC31,1)</f>
        <v>6.22</v>
      </c>
      <c r="K57" s="15">
        <f>'[3]Source'!P31</f>
        <v>99.62</v>
      </c>
      <c r="L57" s="31"/>
    </row>
    <row r="58" spans="1:12" ht="15">
      <c r="A58" s="11"/>
      <c r="B58" s="12"/>
      <c r="C58" s="12" t="s">
        <v>58</v>
      </c>
      <c r="D58" s="30" t="s">
        <v>59</v>
      </c>
      <c r="E58" s="1">
        <f>'[3]Source'!BZ31</f>
        <v>90</v>
      </c>
      <c r="F58" s="32"/>
      <c r="G58" s="13"/>
      <c r="H58" s="15">
        <f>SUM(S53:S60)</f>
        <v>0</v>
      </c>
      <c r="I58" s="33"/>
      <c r="J58" s="7">
        <f>'[3]Source'!AT31</f>
        <v>90</v>
      </c>
      <c r="K58" s="15">
        <f>SUM(T53:T60)</f>
        <v>0</v>
      </c>
      <c r="L58" s="31"/>
    </row>
    <row r="59" spans="1:12" ht="15">
      <c r="A59" s="11"/>
      <c r="B59" s="12"/>
      <c r="C59" s="12" t="s">
        <v>60</v>
      </c>
      <c r="D59" s="30" t="s">
        <v>59</v>
      </c>
      <c r="E59" s="1">
        <f>'[3]Source'!CA31</f>
        <v>70</v>
      </c>
      <c r="F59" s="32"/>
      <c r="G59" s="13"/>
      <c r="H59" s="15">
        <f>SUM(U53:U60)</f>
        <v>0</v>
      </c>
      <c r="I59" s="33"/>
      <c r="J59" s="7">
        <f>'[3]Source'!AU31</f>
        <v>70</v>
      </c>
      <c r="K59" s="15">
        <f>SUM(V53:V60)</f>
        <v>0</v>
      </c>
      <c r="L59" s="31"/>
    </row>
    <row r="60" spans="1:12" ht="15">
      <c r="A60" s="16"/>
      <c r="B60" s="17"/>
      <c r="C60" s="17" t="s">
        <v>87</v>
      </c>
      <c r="D60" s="34" t="s">
        <v>61</v>
      </c>
      <c r="E60" s="9">
        <f>'[3]Source'!AQ31</f>
        <v>9.08</v>
      </c>
      <c r="F60" s="19"/>
      <c r="G60" s="18">
        <f>'[3]Source'!DI31</f>
      </c>
      <c r="H60" s="8"/>
      <c r="I60" s="18"/>
      <c r="J60" s="18"/>
      <c r="K60" s="8"/>
      <c r="L60" s="35">
        <f>'[3]Source'!U31</f>
        <v>0.65376</v>
      </c>
    </row>
    <row r="61" spans="7:12" ht="15">
      <c r="G61" s="96">
        <f>H54+H55+H57+H58+H59</f>
        <v>21.89</v>
      </c>
      <c r="H61" s="96"/>
      <c r="J61" s="96">
        <f>K54+K55+K57+K58+K59</f>
        <v>219.61</v>
      </c>
      <c r="K61" s="96"/>
      <c r="L61" s="36">
        <f>'[3]Source'!U31</f>
        <v>0.65376</v>
      </c>
    </row>
    <row r="62" spans="1:12" ht="42.75">
      <c r="A62" s="11" t="str">
        <f>'[3]Source'!E33</f>
        <v>5</v>
      </c>
      <c r="B62" s="12" t="str">
        <f>'[3]Source'!F33</f>
        <v>13-03-002-04</v>
      </c>
      <c r="C62" s="12" t="str">
        <f>'[3]Source'!G33</f>
        <v>Огрунтовка металлических поверхностей за один раз мастикой Вектор</v>
      </c>
      <c r="D62" s="30" t="str">
        <f>'[3]Source'!DW33</f>
        <v>100 м2</v>
      </c>
      <c r="E62" s="1">
        <f>'[3]Source'!I33</f>
        <v>0.072</v>
      </c>
      <c r="F62" s="14">
        <f>'[3]Source'!AL33+'[3]Source'!AM33+'[3]Source'!AO33</f>
        <v>268.49</v>
      </c>
      <c r="G62" s="13"/>
      <c r="H62" s="15"/>
      <c r="I62" s="13">
        <f>'[3]Source'!BO33</f>
      </c>
      <c r="J62" s="13"/>
      <c r="K62" s="15"/>
      <c r="L62" s="31"/>
    </row>
    <row r="63" spans="1:12" ht="15">
      <c r="A63" s="11"/>
      <c r="B63" s="12"/>
      <c r="C63" s="12" t="s">
        <v>86</v>
      </c>
      <c r="D63" s="30"/>
      <c r="E63" s="1"/>
      <c r="F63" s="14">
        <f>'[3]Source'!AO33</f>
        <v>56.55</v>
      </c>
      <c r="G63" s="13">
        <f>'[3]Source'!DG33</f>
      </c>
      <c r="H63" s="15">
        <f>ROUND('[3]Source'!AF33*'[3]Source'!I33,2)</f>
        <v>4.07</v>
      </c>
      <c r="I63" s="13"/>
      <c r="J63" s="13">
        <f>IF('[3]Source'!BA33&lt;&gt;0,'[3]Source'!BA33,1)</f>
        <v>20.78</v>
      </c>
      <c r="K63" s="15">
        <f>'[3]Source'!S33</f>
        <v>84.61</v>
      </c>
      <c r="L63" s="31"/>
    </row>
    <row r="64" spans="1:12" ht="15">
      <c r="A64" s="11"/>
      <c r="B64" s="12"/>
      <c r="C64" s="12" t="s">
        <v>62</v>
      </c>
      <c r="D64" s="30"/>
      <c r="E64" s="1"/>
      <c r="F64" s="14">
        <f>'[3]Source'!AM33</f>
        <v>9.22</v>
      </c>
      <c r="G64" s="13">
        <f>'[3]Source'!DE33</f>
      </c>
      <c r="H64" s="15">
        <f>ROUND('[3]Source'!AD33*'[3]Source'!I33,2)</f>
        <v>0.66</v>
      </c>
      <c r="I64" s="13"/>
      <c r="J64" s="13">
        <f>IF('[3]Source'!BB33&lt;&gt;0,'[3]Source'!BB33,1)</f>
        <v>7.79</v>
      </c>
      <c r="K64" s="15">
        <f>'[3]Source'!Q33</f>
        <v>5.17</v>
      </c>
      <c r="L64" s="31"/>
    </row>
    <row r="65" spans="1:12" ht="15">
      <c r="A65" s="11"/>
      <c r="B65" s="12"/>
      <c r="C65" s="12" t="s">
        <v>63</v>
      </c>
      <c r="D65" s="30"/>
      <c r="E65" s="1"/>
      <c r="F65" s="14">
        <f>'[3]Source'!AN33</f>
        <v>0.22</v>
      </c>
      <c r="G65" s="13">
        <f>'[3]Source'!DF33</f>
      </c>
      <c r="H65" s="20">
        <f>ROUND('[3]Source'!AE33*'[3]Source'!I33,2)</f>
        <v>0.02</v>
      </c>
      <c r="I65" s="13"/>
      <c r="J65" s="13">
        <f>IF('[3]Source'!BS33&lt;&gt;0,'[3]Source'!BS33,1)</f>
        <v>20.78</v>
      </c>
      <c r="K65" s="20">
        <f>'[3]Source'!R33</f>
        <v>0.33</v>
      </c>
      <c r="L65" s="31"/>
    </row>
    <row r="66" spans="1:12" ht="15">
      <c r="A66" s="11"/>
      <c r="B66" s="12"/>
      <c r="C66" s="12" t="s">
        <v>64</v>
      </c>
      <c r="D66" s="30"/>
      <c r="E66" s="1"/>
      <c r="F66" s="14">
        <f>'[3]Source'!AL33</f>
        <v>202.72</v>
      </c>
      <c r="G66" s="13">
        <f>'[3]Source'!DD33</f>
      </c>
      <c r="H66" s="15">
        <f>ROUND('[3]Source'!AC33*'[3]Source'!I33,2)</f>
        <v>14.6</v>
      </c>
      <c r="I66" s="13"/>
      <c r="J66" s="13">
        <f>IF('[3]Source'!BC33&lt;&gt;0,'[3]Source'!BC33,1)</f>
        <v>6.22</v>
      </c>
      <c r="K66" s="15">
        <f>'[3]Source'!P33</f>
        <v>90.79</v>
      </c>
      <c r="L66" s="31"/>
    </row>
    <row r="67" spans="1:12" ht="15">
      <c r="A67" s="11"/>
      <c r="B67" s="12"/>
      <c r="C67" s="12" t="s">
        <v>58</v>
      </c>
      <c r="D67" s="30" t="s">
        <v>59</v>
      </c>
      <c r="E67" s="1">
        <f>'[3]Source'!BZ33</f>
        <v>90</v>
      </c>
      <c r="F67" s="32"/>
      <c r="G67" s="13"/>
      <c r="H67" s="15">
        <f>SUM(S62:S69)</f>
        <v>0</v>
      </c>
      <c r="I67" s="33"/>
      <c r="J67" s="7">
        <f>'[3]Source'!AT33</f>
        <v>90</v>
      </c>
      <c r="K67" s="15">
        <f>SUM(T62:T69)</f>
        <v>0</v>
      </c>
      <c r="L67" s="31"/>
    </row>
    <row r="68" spans="1:12" ht="15">
      <c r="A68" s="11"/>
      <c r="B68" s="12"/>
      <c r="C68" s="12" t="s">
        <v>60</v>
      </c>
      <c r="D68" s="30" t="s">
        <v>59</v>
      </c>
      <c r="E68" s="1">
        <f>'[3]Source'!CA33</f>
        <v>70</v>
      </c>
      <c r="F68" s="32"/>
      <c r="G68" s="13"/>
      <c r="H68" s="15">
        <f>SUM(U62:U69)</f>
        <v>0</v>
      </c>
      <c r="I68" s="33"/>
      <c r="J68" s="7">
        <f>'[3]Source'!AU33</f>
        <v>70</v>
      </c>
      <c r="K68" s="15">
        <f>SUM(V62:V69)</f>
        <v>0</v>
      </c>
      <c r="L68" s="31"/>
    </row>
    <row r="69" spans="1:12" ht="15">
      <c r="A69" s="16"/>
      <c r="B69" s="17"/>
      <c r="C69" s="17" t="s">
        <v>87</v>
      </c>
      <c r="D69" s="34" t="s">
        <v>61</v>
      </c>
      <c r="E69" s="9">
        <f>'[3]Source'!AQ33</f>
        <v>5.31</v>
      </c>
      <c r="F69" s="19"/>
      <c r="G69" s="18">
        <f>'[3]Source'!DI33</f>
      </c>
      <c r="H69" s="8"/>
      <c r="I69" s="18"/>
      <c r="J69" s="18"/>
      <c r="K69" s="8"/>
      <c r="L69" s="35">
        <f>'[3]Source'!U33</f>
        <v>0.38231999999999994</v>
      </c>
    </row>
    <row r="70" spans="7:12" ht="15">
      <c r="G70" s="96">
        <f>H63+H64+H66+H67+H68</f>
        <v>19.33</v>
      </c>
      <c r="H70" s="96"/>
      <c r="J70" s="96">
        <f>K63+K64+K66+K67+K68</f>
        <v>180.57</v>
      </c>
      <c r="K70" s="96"/>
      <c r="L70" s="36">
        <f>'[3]Source'!U33</f>
        <v>0.38231999999999994</v>
      </c>
    </row>
    <row r="71" spans="1:12" ht="28.5">
      <c r="A71" s="11" t="str">
        <f>'[3]Source'!E35</f>
        <v>6</v>
      </c>
      <c r="B71" s="12" t="str">
        <f>'[3]Source'!F35</f>
        <v>13-03-004-21</v>
      </c>
      <c r="C71" s="12" t="str">
        <f>'[3]Source'!G35</f>
        <v>Окраска металлических огрунтованных поверхностей матикой Вектор</v>
      </c>
      <c r="D71" s="30" t="str">
        <f>'[3]Source'!DW35</f>
        <v>100 м2</v>
      </c>
      <c r="E71" s="1">
        <f>'[3]Source'!I35</f>
        <v>0.072</v>
      </c>
      <c r="F71" s="14">
        <f>'[3]Source'!AL35+'[3]Source'!AM35+'[3]Source'!AO35</f>
        <v>1400.11</v>
      </c>
      <c r="G71" s="13"/>
      <c r="H71" s="15"/>
      <c r="I71" s="13">
        <f>'[3]Source'!BO35</f>
      </c>
      <c r="J71" s="13"/>
      <c r="K71" s="15"/>
      <c r="L71" s="31"/>
    </row>
    <row r="72" spans="1:12" ht="15">
      <c r="A72" s="11"/>
      <c r="B72" s="12"/>
      <c r="C72" s="12" t="s">
        <v>86</v>
      </c>
      <c r="D72" s="30"/>
      <c r="E72" s="1"/>
      <c r="F72" s="14">
        <f>'[3]Source'!AO35</f>
        <v>22.04</v>
      </c>
      <c r="G72" s="13">
        <f>'[3]Source'!DG35</f>
      </c>
      <c r="H72" s="15">
        <f>ROUND('[3]Source'!AF35*'[3]Source'!I35,2)</f>
        <v>1.59</v>
      </c>
      <c r="I72" s="13"/>
      <c r="J72" s="13">
        <f>IF('[3]Source'!BA35&lt;&gt;0,'[3]Source'!BA35,1)</f>
        <v>20.78</v>
      </c>
      <c r="K72" s="15">
        <f>'[3]Source'!S35</f>
        <v>32.98</v>
      </c>
      <c r="L72" s="31"/>
    </row>
    <row r="73" spans="1:12" ht="15">
      <c r="A73" s="11"/>
      <c r="B73" s="12"/>
      <c r="C73" s="12" t="s">
        <v>62</v>
      </c>
      <c r="D73" s="30"/>
      <c r="E73" s="1"/>
      <c r="F73" s="14">
        <f>'[3]Source'!AM35</f>
        <v>6.01</v>
      </c>
      <c r="G73" s="13">
        <f>'[3]Source'!DE35</f>
      </c>
      <c r="H73" s="15">
        <f>ROUND('[3]Source'!AD35*'[3]Source'!I35,2)</f>
        <v>0.43</v>
      </c>
      <c r="I73" s="13"/>
      <c r="J73" s="13">
        <f>IF('[3]Source'!BB35&lt;&gt;0,'[3]Source'!BB35,1)</f>
        <v>7.79</v>
      </c>
      <c r="K73" s="15">
        <f>'[3]Source'!Q35</f>
        <v>3.37</v>
      </c>
      <c r="L73" s="31"/>
    </row>
    <row r="74" spans="1:12" ht="15">
      <c r="A74" s="11"/>
      <c r="B74" s="12"/>
      <c r="C74" s="12" t="s">
        <v>63</v>
      </c>
      <c r="D74" s="30"/>
      <c r="E74" s="1"/>
      <c r="F74" s="14">
        <f>'[3]Source'!AN35</f>
        <v>0.22</v>
      </c>
      <c r="G74" s="13">
        <f>'[3]Source'!DF35</f>
      </c>
      <c r="H74" s="20">
        <f>ROUND('[3]Source'!AE35*'[3]Source'!I35,2)</f>
        <v>0.02</v>
      </c>
      <c r="I74" s="13"/>
      <c r="J74" s="13">
        <f>IF('[3]Source'!BS35&lt;&gt;0,'[3]Source'!BS35,1)</f>
        <v>20.78</v>
      </c>
      <c r="K74" s="20">
        <f>'[3]Source'!R35</f>
        <v>0.33</v>
      </c>
      <c r="L74" s="31"/>
    </row>
    <row r="75" spans="1:12" ht="15">
      <c r="A75" s="11"/>
      <c r="B75" s="12"/>
      <c r="C75" s="12" t="s">
        <v>64</v>
      </c>
      <c r="D75" s="30"/>
      <c r="E75" s="1"/>
      <c r="F75" s="14">
        <f>'[3]Source'!AL35</f>
        <v>1372.06</v>
      </c>
      <c r="G75" s="13">
        <f>'[3]Source'!DD35</f>
      </c>
      <c r="H75" s="15">
        <f>ROUND('[3]Source'!AC35*'[3]Source'!I35,2)</f>
        <v>98.79</v>
      </c>
      <c r="I75" s="13"/>
      <c r="J75" s="13">
        <f>IF('[3]Source'!BC35&lt;&gt;0,'[3]Source'!BC35,1)</f>
        <v>6.22</v>
      </c>
      <c r="K75" s="15">
        <f>'[3]Source'!P35</f>
        <v>614.46</v>
      </c>
      <c r="L75" s="31"/>
    </row>
    <row r="76" spans="1:12" ht="15">
      <c r="A76" s="11"/>
      <c r="B76" s="12"/>
      <c r="C76" s="12" t="s">
        <v>58</v>
      </c>
      <c r="D76" s="30" t="s">
        <v>59</v>
      </c>
      <c r="E76" s="1">
        <f>'[3]Source'!BZ35</f>
        <v>90</v>
      </c>
      <c r="F76" s="32"/>
      <c r="G76" s="13"/>
      <c r="H76" s="15">
        <f>SUM(S71:S78)</f>
        <v>0</v>
      </c>
      <c r="I76" s="33"/>
      <c r="J76" s="7">
        <f>'[3]Source'!AT35</f>
        <v>90</v>
      </c>
      <c r="K76" s="15">
        <f>SUM(T71:T78)</f>
        <v>0</v>
      </c>
      <c r="L76" s="31"/>
    </row>
    <row r="77" spans="1:12" ht="15">
      <c r="A77" s="11"/>
      <c r="B77" s="12"/>
      <c r="C77" s="12" t="s">
        <v>60</v>
      </c>
      <c r="D77" s="30" t="s">
        <v>59</v>
      </c>
      <c r="E77" s="1">
        <f>'[3]Source'!CA35</f>
        <v>70</v>
      </c>
      <c r="F77" s="32"/>
      <c r="G77" s="13"/>
      <c r="H77" s="15">
        <f>SUM(U71:U78)</f>
        <v>0</v>
      </c>
      <c r="I77" s="33"/>
      <c r="J77" s="7">
        <f>'[3]Source'!AU35</f>
        <v>70</v>
      </c>
      <c r="K77" s="15">
        <f>SUM(V71:V78)</f>
        <v>0</v>
      </c>
      <c r="L77" s="31"/>
    </row>
    <row r="78" spans="1:12" ht="15">
      <c r="A78" s="16"/>
      <c r="B78" s="17"/>
      <c r="C78" s="17" t="s">
        <v>87</v>
      </c>
      <c r="D78" s="34" t="s">
        <v>61</v>
      </c>
      <c r="E78" s="9">
        <f>'[3]Source'!AQ35</f>
        <v>2.43</v>
      </c>
      <c r="F78" s="19"/>
      <c r="G78" s="18">
        <f>'[3]Source'!DI35</f>
      </c>
      <c r="H78" s="8"/>
      <c r="I78" s="18"/>
      <c r="J78" s="18"/>
      <c r="K78" s="8"/>
      <c r="L78" s="35">
        <f>'[3]Source'!U35</f>
        <v>0.17496</v>
      </c>
    </row>
    <row r="79" spans="7:12" ht="15">
      <c r="G79" s="96">
        <f>H72+H73+H75+H76+H77</f>
        <v>100.81</v>
      </c>
      <c r="H79" s="96"/>
      <c r="J79" s="96">
        <f>K72+K73+K75+K76+K77</f>
        <v>650.8100000000001</v>
      </c>
      <c r="K79" s="96"/>
      <c r="L79" s="36">
        <f>'[3]Source'!U35</f>
        <v>0.17496</v>
      </c>
    </row>
    <row r="80" spans="1:12" ht="39.75">
      <c r="A80" s="16" t="str">
        <f>'[3]Source'!E37</f>
        <v>7</v>
      </c>
      <c r="B80" s="17">
        <f>'[3]Source'!F37</f>
      </c>
      <c r="C80" s="17" t="s">
        <v>120</v>
      </c>
      <c r="D80" s="34" t="str">
        <f>'[3]Source'!DW37</f>
        <v>шт.</v>
      </c>
      <c r="E80" s="9">
        <f>'[3]Source'!I37</f>
        <v>2</v>
      </c>
      <c r="F80" s="19">
        <f>'[3]Source'!AL37</f>
        <v>948.3</v>
      </c>
      <c r="G80" s="18">
        <f>'[3]Source'!DD37</f>
      </c>
      <c r="H80" s="8">
        <f>ROUND('[3]Source'!AC37*'[3]Source'!I37,2)</f>
        <v>1896.6</v>
      </c>
      <c r="I80" s="18">
        <f>'[3]Source'!BO37</f>
      </c>
      <c r="J80" s="18">
        <f>IF('[3]Source'!BC37&lt;&gt;0,'[3]Source'!BC37,1)</f>
        <v>6.22</v>
      </c>
      <c r="K80" s="8">
        <f>'[3]Source'!P37</f>
        <v>11796.85</v>
      </c>
      <c r="L80" s="51"/>
    </row>
    <row r="81" spans="7:12" ht="15">
      <c r="G81" s="96">
        <f>H80</f>
        <v>1896.6</v>
      </c>
      <c r="H81" s="96"/>
      <c r="J81" s="96">
        <f>K80</f>
        <v>11796.85</v>
      </c>
      <c r="K81" s="96"/>
      <c r="L81" s="36">
        <f>'[3]Source'!U37</f>
        <v>0</v>
      </c>
    </row>
    <row r="82" spans="1:12" ht="39.75">
      <c r="A82" s="16" t="str">
        <f>'[3]Source'!E39</f>
        <v>9</v>
      </c>
      <c r="B82" s="17">
        <f>'[3]Source'!F39</f>
      </c>
      <c r="C82" s="17" t="s">
        <v>121</v>
      </c>
      <c r="D82" s="34" t="str">
        <f>'[3]Source'!DW39</f>
        <v>шт.</v>
      </c>
      <c r="E82" s="9">
        <f>'[3]Source'!I39</f>
        <v>1</v>
      </c>
      <c r="F82" s="19">
        <f>'[3]Source'!AL39</f>
        <v>47.56</v>
      </c>
      <c r="G82" s="18">
        <f>'[3]Source'!DD39</f>
      </c>
      <c r="H82" s="8">
        <f>ROUND('[3]Source'!AC39*'[3]Source'!I39,2)</f>
        <v>47.56</v>
      </c>
      <c r="I82" s="18">
        <f>'[3]Source'!BO39</f>
      </c>
      <c r="J82" s="18">
        <f>IF('[3]Source'!BC39&lt;&gt;0,'[3]Source'!BC39,1)</f>
        <v>6.22</v>
      </c>
      <c r="K82" s="8">
        <f>'[3]Source'!P39</f>
        <v>295.82</v>
      </c>
      <c r="L82" s="51"/>
    </row>
    <row r="83" spans="7:12" ht="15">
      <c r="G83" s="96">
        <f>H82</f>
        <v>47.56</v>
      </c>
      <c r="H83" s="96"/>
      <c r="J83" s="96">
        <f>K82</f>
        <v>295.82</v>
      </c>
      <c r="K83" s="96"/>
      <c r="L83" s="36">
        <f>'[3]Source'!U39</f>
        <v>0</v>
      </c>
    </row>
    <row r="84" spans="1:12" ht="42.75">
      <c r="A84" s="11" t="str">
        <f>'[3]Source'!E41</f>
        <v>10</v>
      </c>
      <c r="B84" s="12" t="str">
        <f>'[3]Source'!F41</f>
        <v>26-01-003-01</v>
      </c>
      <c r="C84" s="12" t="str">
        <f>'[3]Source'!G41</f>
        <v>Изоляция трубопроводов цилиндрами и полуцилиндрами из минеральной ваты на синтетическом связующем</v>
      </c>
      <c r="D84" s="30" t="str">
        <f>'[3]Source'!DW41</f>
        <v>м3</v>
      </c>
      <c r="E84" s="1">
        <f>'[3]Source'!I41</f>
        <v>0.88</v>
      </c>
      <c r="F84" s="14">
        <f>'[3]Source'!AL41+'[3]Source'!AM41+'[3]Source'!AO41</f>
        <v>788.0600000000001</v>
      </c>
      <c r="G84" s="13"/>
      <c r="H84" s="15"/>
      <c r="I84" s="13">
        <f>'[3]Source'!BO41</f>
      </c>
      <c r="J84" s="13"/>
      <c r="K84" s="15"/>
      <c r="L84" s="31"/>
    </row>
    <row r="85" spans="1:12" ht="15">
      <c r="A85" s="11"/>
      <c r="B85" s="12"/>
      <c r="C85" s="12" t="s">
        <v>86</v>
      </c>
      <c r="D85" s="30"/>
      <c r="E85" s="1"/>
      <c r="F85" s="14">
        <f>'[3]Source'!AO41</f>
        <v>172.58</v>
      </c>
      <c r="G85" s="13">
        <f>'[3]Source'!DG41</f>
      </c>
      <c r="H85" s="15">
        <f>ROUND('[3]Source'!AF41*'[3]Source'!I41,2)</f>
        <v>151.87</v>
      </c>
      <c r="I85" s="13"/>
      <c r="J85" s="13">
        <f>IF('[3]Source'!BA41&lt;&gt;0,'[3]Source'!BA41,1)</f>
        <v>20.78</v>
      </c>
      <c r="K85" s="15">
        <f>'[3]Source'!S41</f>
        <v>3155.87</v>
      </c>
      <c r="L85" s="31"/>
    </row>
    <row r="86" spans="1:12" ht="15">
      <c r="A86" s="11"/>
      <c r="B86" s="12"/>
      <c r="C86" s="12" t="s">
        <v>62</v>
      </c>
      <c r="D86" s="30"/>
      <c r="E86" s="1"/>
      <c r="F86" s="14">
        <f>'[3]Source'!AM41</f>
        <v>28.83</v>
      </c>
      <c r="G86" s="13">
        <f>'[3]Source'!DE41</f>
      </c>
      <c r="H86" s="15">
        <f>ROUND('[3]Source'!AD41*'[3]Source'!I41,2)</f>
        <v>25.37</v>
      </c>
      <c r="I86" s="13"/>
      <c r="J86" s="13">
        <f>IF('[3]Source'!BB41&lt;&gt;0,'[3]Source'!BB41,1)</f>
        <v>7.79</v>
      </c>
      <c r="K86" s="15">
        <f>'[3]Source'!Q41</f>
        <v>197.64</v>
      </c>
      <c r="L86" s="31"/>
    </row>
    <row r="87" spans="1:12" ht="15">
      <c r="A87" s="11"/>
      <c r="B87" s="12"/>
      <c r="C87" s="12" t="s">
        <v>63</v>
      </c>
      <c r="D87" s="30"/>
      <c r="E87" s="1"/>
      <c r="F87" s="14">
        <f>'[3]Source'!AN41</f>
        <v>4.64</v>
      </c>
      <c r="G87" s="13">
        <f>'[3]Source'!DF41</f>
      </c>
      <c r="H87" s="20">
        <f>ROUND('[3]Source'!AE41*'[3]Source'!I41,2)</f>
        <v>4.08</v>
      </c>
      <c r="I87" s="13"/>
      <c r="J87" s="13">
        <f>IF('[3]Source'!BS41&lt;&gt;0,'[3]Source'!BS41,1)</f>
        <v>20.78</v>
      </c>
      <c r="K87" s="20">
        <f>'[3]Source'!R41</f>
        <v>84.85</v>
      </c>
      <c r="L87" s="31"/>
    </row>
    <row r="88" spans="1:12" ht="15">
      <c r="A88" s="11"/>
      <c r="B88" s="12"/>
      <c r="C88" s="12" t="s">
        <v>64</v>
      </c>
      <c r="D88" s="30"/>
      <c r="E88" s="1"/>
      <c r="F88" s="14">
        <f>'[3]Source'!AL41</f>
        <v>586.65</v>
      </c>
      <c r="G88" s="13">
        <f>'[3]Source'!DD41</f>
      </c>
      <c r="H88" s="15">
        <f>ROUND('[3]Source'!AC41*'[3]Source'!I41,2)</f>
        <v>516.25</v>
      </c>
      <c r="I88" s="13"/>
      <c r="J88" s="13">
        <f>IF('[3]Source'!BC41&lt;&gt;0,'[3]Source'!BC41,1)</f>
        <v>6.22</v>
      </c>
      <c r="K88" s="15">
        <f>'[3]Source'!P41</f>
        <v>3211.09</v>
      </c>
      <c r="L88" s="31"/>
    </row>
    <row r="89" spans="1:12" ht="15">
      <c r="A89" s="11"/>
      <c r="B89" s="12"/>
      <c r="C89" s="12" t="s">
        <v>58</v>
      </c>
      <c r="D89" s="30" t="s">
        <v>59</v>
      </c>
      <c r="E89" s="1">
        <f>'[3]Source'!BZ41</f>
        <v>100</v>
      </c>
      <c r="F89" s="32"/>
      <c r="G89" s="13"/>
      <c r="H89" s="15">
        <f>SUM(S84:S91)</f>
        <v>0</v>
      </c>
      <c r="I89" s="33"/>
      <c r="J89" s="7">
        <f>'[3]Source'!AT41</f>
        <v>100</v>
      </c>
      <c r="K89" s="15">
        <f>SUM(T84:T91)</f>
        <v>0</v>
      </c>
      <c r="L89" s="31"/>
    </row>
    <row r="90" spans="1:12" ht="15">
      <c r="A90" s="11"/>
      <c r="B90" s="12"/>
      <c r="C90" s="12" t="s">
        <v>60</v>
      </c>
      <c r="D90" s="30" t="s">
        <v>59</v>
      </c>
      <c r="E90" s="1">
        <f>'[3]Source'!CA41</f>
        <v>70</v>
      </c>
      <c r="F90" s="32"/>
      <c r="G90" s="13"/>
      <c r="H90" s="15">
        <f>SUM(U84:U91)</f>
        <v>0</v>
      </c>
      <c r="I90" s="33"/>
      <c r="J90" s="7">
        <f>'[3]Source'!AU41</f>
        <v>70</v>
      </c>
      <c r="K90" s="15">
        <f>SUM(V84:V91)</f>
        <v>0</v>
      </c>
      <c r="L90" s="31"/>
    </row>
    <row r="91" spans="1:12" ht="15">
      <c r="A91" s="16"/>
      <c r="B91" s="17"/>
      <c r="C91" s="17" t="s">
        <v>87</v>
      </c>
      <c r="D91" s="34" t="s">
        <v>61</v>
      </c>
      <c r="E91" s="9">
        <f>'[3]Source'!AQ41</f>
        <v>18.8</v>
      </c>
      <c r="F91" s="19"/>
      <c r="G91" s="18">
        <f>'[3]Source'!DI41</f>
      </c>
      <c r="H91" s="8"/>
      <c r="I91" s="18"/>
      <c r="J91" s="18"/>
      <c r="K91" s="8"/>
      <c r="L91" s="35">
        <f>'[3]Source'!U41</f>
        <v>16.544</v>
      </c>
    </row>
    <row r="92" spans="7:12" ht="15">
      <c r="G92" s="96">
        <f>H85+H86+H88+H89+H90</f>
        <v>693.49</v>
      </c>
      <c r="H92" s="96"/>
      <c r="J92" s="96">
        <f>K85+K86+K88+K89+K90</f>
        <v>6564.6</v>
      </c>
      <c r="K92" s="96"/>
      <c r="L92" s="36">
        <f>'[3]Source'!U41</f>
        <v>16.544</v>
      </c>
    </row>
    <row r="93" spans="1:12" ht="57">
      <c r="A93" s="16" t="str">
        <f>'[3]Source'!E43</f>
        <v>11</v>
      </c>
      <c r="B93" s="17" t="str">
        <f>'[3]Source'!F43</f>
        <v>12.2.08.03-0023</v>
      </c>
      <c r="C93" s="17" t="str">
        <f>'[3]Source'!G43</f>
        <v>Цилиндры и полуцилиндры теплоизоляционные из минваты на синтетическом связующем М-200, внутренним диаметром 18-57 мм</v>
      </c>
      <c r="D93" s="34" t="str">
        <f>'[3]Source'!DW43</f>
        <v>м3</v>
      </c>
      <c r="E93" s="9">
        <f>'[3]Source'!I43</f>
        <v>0.88</v>
      </c>
      <c r="F93" s="19">
        <f>'[3]Source'!AL43</f>
        <v>1641.63</v>
      </c>
      <c r="G93" s="18">
        <f>'[3]Source'!DD43</f>
      </c>
      <c r="H93" s="8">
        <f>ROUND('[3]Source'!AC43*'[3]Source'!I43,2)</f>
        <v>1444.63</v>
      </c>
      <c r="I93" s="18">
        <f>'[3]Source'!BO43</f>
      </c>
      <c r="J93" s="18">
        <f>IF('[3]Source'!BC43&lt;&gt;0,'[3]Source'!BC43,1)</f>
        <v>6.22</v>
      </c>
      <c r="K93" s="8">
        <f>'[3]Source'!P43</f>
        <v>8985.63</v>
      </c>
      <c r="L93" s="51"/>
    </row>
    <row r="94" spans="7:12" ht="15">
      <c r="G94" s="96">
        <f>H93</f>
        <v>1444.63</v>
      </c>
      <c r="H94" s="96"/>
      <c r="J94" s="96">
        <f>K93</f>
        <v>8985.63</v>
      </c>
      <c r="K94" s="96"/>
      <c r="L94" s="36">
        <f>'[3]Source'!U43</f>
        <v>0</v>
      </c>
    </row>
    <row r="95" spans="1:12" ht="42.75">
      <c r="A95" s="11" t="str">
        <f>'[3]Source'!E45</f>
        <v>12</v>
      </c>
      <c r="B95" s="12" t="str">
        <f>'[3]Source'!F45</f>
        <v>26-01-052-01</v>
      </c>
      <c r="C95" s="12" t="str">
        <f>'[3]Source'!G45</f>
        <v>Покрытие поверхности изоляции трубопроводов стеклопластиками РСТ, тканями стеклянными</v>
      </c>
      <c r="D95" s="30" t="str">
        <f>'[3]Source'!DW45</f>
        <v>100 м2</v>
      </c>
      <c r="E95" s="1">
        <f>'[3]Source'!I45</f>
        <v>0.222</v>
      </c>
      <c r="F95" s="14">
        <f>'[3]Source'!AL45+'[3]Source'!AM45+'[3]Source'!AO45</f>
        <v>6119.68</v>
      </c>
      <c r="G95" s="13"/>
      <c r="H95" s="15"/>
      <c r="I95" s="13">
        <f>'[3]Source'!BO45</f>
      </c>
      <c r="J95" s="13"/>
      <c r="K95" s="15"/>
      <c r="L95" s="31"/>
    </row>
    <row r="96" spans="1:12" ht="15">
      <c r="A96" s="11"/>
      <c r="B96" s="12"/>
      <c r="C96" s="12" t="s">
        <v>86</v>
      </c>
      <c r="D96" s="30"/>
      <c r="E96" s="1"/>
      <c r="F96" s="14">
        <f>'[3]Source'!AO45</f>
        <v>1019.28</v>
      </c>
      <c r="G96" s="13">
        <f>'[3]Source'!DG45</f>
      </c>
      <c r="H96" s="15">
        <f>ROUND('[3]Source'!AF45*'[3]Source'!I45,2)</f>
        <v>226.28</v>
      </c>
      <c r="I96" s="13"/>
      <c r="J96" s="13">
        <f>IF('[3]Source'!BA45&lt;&gt;0,'[3]Source'!BA45,1)</f>
        <v>20.78</v>
      </c>
      <c r="K96" s="15">
        <f>'[3]Source'!S45</f>
        <v>4702.1</v>
      </c>
      <c r="L96" s="31"/>
    </row>
    <row r="97" spans="1:12" ht="15">
      <c r="A97" s="11"/>
      <c r="B97" s="12"/>
      <c r="C97" s="12" t="s">
        <v>62</v>
      </c>
      <c r="D97" s="30"/>
      <c r="E97" s="1"/>
      <c r="F97" s="14">
        <f>'[3]Source'!AM45</f>
        <v>58.18</v>
      </c>
      <c r="G97" s="13">
        <f>'[3]Source'!DE45</f>
      </c>
      <c r="H97" s="15">
        <f>ROUND('[3]Source'!AD45*'[3]Source'!I45,2)</f>
        <v>12.92</v>
      </c>
      <c r="I97" s="13"/>
      <c r="J97" s="13">
        <f>IF('[3]Source'!BB45&lt;&gt;0,'[3]Source'!BB45,1)</f>
        <v>7.79</v>
      </c>
      <c r="K97" s="15">
        <f>'[3]Source'!Q45</f>
        <v>100.62</v>
      </c>
      <c r="L97" s="31"/>
    </row>
    <row r="98" spans="1:12" ht="15">
      <c r="A98" s="11"/>
      <c r="B98" s="12"/>
      <c r="C98" s="12" t="s">
        <v>63</v>
      </c>
      <c r="D98" s="30"/>
      <c r="E98" s="1"/>
      <c r="F98" s="14">
        <f>'[3]Source'!AN45</f>
        <v>8.12</v>
      </c>
      <c r="G98" s="13">
        <f>'[3]Source'!DF45</f>
      </c>
      <c r="H98" s="20">
        <f>ROUND('[3]Source'!AE45*'[3]Source'!I45,2)</f>
        <v>1.8</v>
      </c>
      <c r="I98" s="13"/>
      <c r="J98" s="13">
        <f>IF('[3]Source'!BS45&lt;&gt;0,'[3]Source'!BS45,1)</f>
        <v>20.78</v>
      </c>
      <c r="K98" s="20">
        <f>'[3]Source'!R45</f>
        <v>37.46</v>
      </c>
      <c r="L98" s="31"/>
    </row>
    <row r="99" spans="1:12" ht="15">
      <c r="A99" s="11"/>
      <c r="B99" s="12"/>
      <c r="C99" s="12" t="s">
        <v>64</v>
      </c>
      <c r="D99" s="30"/>
      <c r="E99" s="1"/>
      <c r="F99" s="14">
        <f>'[3]Source'!AL45</f>
        <v>5042.22</v>
      </c>
      <c r="G99" s="13">
        <f>'[3]Source'!DD45</f>
      </c>
      <c r="H99" s="15">
        <f>ROUND('[3]Source'!AC45*'[3]Source'!I45,2)</f>
        <v>1119.37</v>
      </c>
      <c r="I99" s="13"/>
      <c r="J99" s="13">
        <f>IF('[3]Source'!BC45&lt;&gt;0,'[3]Source'!BC45,1)</f>
        <v>6.22</v>
      </c>
      <c r="K99" s="15">
        <f>'[3]Source'!P45</f>
        <v>6962.5</v>
      </c>
      <c r="L99" s="31"/>
    </row>
    <row r="100" spans="1:12" ht="15">
      <c r="A100" s="11"/>
      <c r="B100" s="12"/>
      <c r="C100" s="12" t="s">
        <v>58</v>
      </c>
      <c r="D100" s="30" t="s">
        <v>59</v>
      </c>
      <c r="E100" s="1">
        <f>'[3]Source'!BZ45</f>
        <v>100</v>
      </c>
      <c r="F100" s="32"/>
      <c r="G100" s="13"/>
      <c r="H100" s="15">
        <f>SUM(S95:S102)</f>
        <v>0</v>
      </c>
      <c r="I100" s="33"/>
      <c r="J100" s="7">
        <f>'[3]Source'!AT45</f>
        <v>100</v>
      </c>
      <c r="K100" s="15">
        <f>SUM(T95:T102)</f>
        <v>0</v>
      </c>
      <c r="L100" s="31"/>
    </row>
    <row r="101" spans="1:12" ht="15">
      <c r="A101" s="11"/>
      <c r="B101" s="12"/>
      <c r="C101" s="12" t="s">
        <v>60</v>
      </c>
      <c r="D101" s="30" t="s">
        <v>59</v>
      </c>
      <c r="E101" s="1">
        <f>'[3]Source'!CA45</f>
        <v>70</v>
      </c>
      <c r="F101" s="32"/>
      <c r="G101" s="13"/>
      <c r="H101" s="15">
        <f>SUM(U95:U102)</f>
        <v>0</v>
      </c>
      <c r="I101" s="33"/>
      <c r="J101" s="7">
        <f>'[3]Source'!AU45</f>
        <v>70</v>
      </c>
      <c r="K101" s="15">
        <f>SUM(V95:V102)</f>
        <v>0</v>
      </c>
      <c r="L101" s="31"/>
    </row>
    <row r="102" spans="1:12" ht="15">
      <c r="A102" s="16"/>
      <c r="B102" s="17"/>
      <c r="C102" s="17" t="s">
        <v>87</v>
      </c>
      <c r="D102" s="34" t="s">
        <v>61</v>
      </c>
      <c r="E102" s="9">
        <f>'[3]Source'!AQ45</f>
        <v>107.18</v>
      </c>
      <c r="F102" s="19"/>
      <c r="G102" s="18">
        <f>'[3]Source'!DI45</f>
      </c>
      <c r="H102" s="8"/>
      <c r="I102" s="18"/>
      <c r="J102" s="18"/>
      <c r="K102" s="8"/>
      <c r="L102" s="35">
        <f>'[3]Source'!U45</f>
        <v>23.793960000000002</v>
      </c>
    </row>
    <row r="103" spans="7:12" ht="15">
      <c r="G103" s="96">
        <f>H96+H97+H99+H100+H101</f>
        <v>1358.57</v>
      </c>
      <c r="H103" s="96"/>
      <c r="J103" s="96">
        <f>K96+K97+K99+K100+K101</f>
        <v>11765.220000000001</v>
      </c>
      <c r="K103" s="96"/>
      <c r="L103" s="36">
        <f>'[3]Source'!U45</f>
        <v>23.793960000000002</v>
      </c>
    </row>
    <row r="104" spans="1:12" ht="28.5">
      <c r="A104" s="16" t="str">
        <f>'[3]Source'!E47</f>
        <v>13</v>
      </c>
      <c r="B104" s="17" t="str">
        <f>'[3]Source'!F47</f>
        <v>12.2.03.10-0010</v>
      </c>
      <c r="C104" s="17" t="str">
        <f>'[3]Source'!G47</f>
        <v>Стеклопластик рулонный марки РСТ 250 шириной 1м</v>
      </c>
      <c r="D104" s="34" t="str">
        <f>'[3]Source'!DW47</f>
        <v>м2</v>
      </c>
      <c r="E104" s="9">
        <f>'[3]Source'!I47</f>
        <v>22.2</v>
      </c>
      <c r="F104" s="19">
        <f>'[3]Source'!AL47</f>
        <v>12.69</v>
      </c>
      <c r="G104" s="18">
        <f>'[3]Source'!DD47</f>
      </c>
      <c r="H104" s="8">
        <f>ROUND('[3]Source'!AC47*'[3]Source'!I47,2)</f>
        <v>281.72</v>
      </c>
      <c r="I104" s="18">
        <f>'[3]Source'!BO47</f>
      </c>
      <c r="J104" s="18">
        <f>IF('[3]Source'!BC47&lt;&gt;0,'[3]Source'!BC47,1)</f>
        <v>6.22</v>
      </c>
      <c r="K104" s="8">
        <f>'[3]Source'!P47</f>
        <v>1752.29</v>
      </c>
      <c r="L104" s="51"/>
    </row>
    <row r="105" spans="7:12" ht="15">
      <c r="G105" s="96">
        <f>H104</f>
        <v>281.72</v>
      </c>
      <c r="H105" s="96"/>
      <c r="J105" s="96">
        <f>K104</f>
        <v>1752.29</v>
      </c>
      <c r="K105" s="96"/>
      <c r="L105" s="36">
        <f>'[3]Source'!U47</f>
        <v>0</v>
      </c>
    </row>
    <row r="106" spans="1:12" ht="57">
      <c r="A106" s="11" t="str">
        <f>'[3]Source'!E51</f>
        <v>15</v>
      </c>
      <c r="B106" s="12" t="str">
        <f>'[3]Source'!F51</f>
        <v>м12-11-005-01</v>
      </c>
      <c r="C106" s="12" t="str">
        <f>'[3]Source'!G51</f>
        <v>Врезка трубопровода номинальным давлением 2,5 МПа в действующие магистрали, диаметр наружный врезаемой трубы 57 мм</v>
      </c>
      <c r="D106" s="30" t="str">
        <f>'[3]Source'!DW51</f>
        <v>ШТ</v>
      </c>
      <c r="E106" s="1">
        <f>'[3]Source'!I51</f>
        <v>2</v>
      </c>
      <c r="F106" s="14">
        <f>'[3]Source'!AL51+'[3]Source'!AM51+'[3]Source'!AO51</f>
        <v>93.08000000000001</v>
      </c>
      <c r="G106" s="13"/>
      <c r="H106" s="15"/>
      <c r="I106" s="13">
        <f>'[3]Source'!BO51</f>
      </c>
      <c r="J106" s="13"/>
      <c r="K106" s="15"/>
      <c r="L106" s="31"/>
    </row>
    <row r="107" spans="1:12" ht="15">
      <c r="A107" s="11"/>
      <c r="B107" s="12"/>
      <c r="C107" s="12" t="s">
        <v>86</v>
      </c>
      <c r="D107" s="30"/>
      <c r="E107" s="1"/>
      <c r="F107" s="14">
        <f>'[3]Source'!AO51</f>
        <v>81.68</v>
      </c>
      <c r="G107" s="13">
        <f>'[3]Source'!DG51</f>
      </c>
      <c r="H107" s="15">
        <f>ROUND('[3]Source'!AF51*'[3]Source'!I51,2)</f>
        <v>163.36</v>
      </c>
      <c r="I107" s="13"/>
      <c r="J107" s="13">
        <f>IF('[3]Source'!BA51&lt;&gt;0,'[3]Source'!BA51,1)</f>
        <v>20.78</v>
      </c>
      <c r="K107" s="15">
        <f>'[3]Source'!S51</f>
        <v>3394.62</v>
      </c>
      <c r="L107" s="31"/>
    </row>
    <row r="108" spans="1:12" ht="15">
      <c r="A108" s="11"/>
      <c r="B108" s="12"/>
      <c r="C108" s="12" t="s">
        <v>62</v>
      </c>
      <c r="D108" s="30"/>
      <c r="E108" s="1"/>
      <c r="F108" s="14">
        <f>'[3]Source'!AM51</f>
        <v>2.75</v>
      </c>
      <c r="G108" s="13">
        <f>'[3]Source'!DE51</f>
      </c>
      <c r="H108" s="15">
        <f>ROUND('[3]Source'!AD51*'[3]Source'!I51,2)</f>
        <v>5.5</v>
      </c>
      <c r="I108" s="13"/>
      <c r="J108" s="13">
        <f>IF('[3]Source'!BB51&lt;&gt;0,'[3]Source'!BB51,1)</f>
        <v>7.79</v>
      </c>
      <c r="K108" s="15">
        <f>'[3]Source'!Q51</f>
        <v>42.85</v>
      </c>
      <c r="L108" s="31"/>
    </row>
    <row r="109" spans="1:12" ht="15">
      <c r="A109" s="11"/>
      <c r="B109" s="12"/>
      <c r="C109" s="12" t="s">
        <v>64</v>
      </c>
      <c r="D109" s="30"/>
      <c r="E109" s="1"/>
      <c r="F109" s="14">
        <f>'[3]Source'!AL51</f>
        <v>8.65</v>
      </c>
      <c r="G109" s="13">
        <f>'[3]Source'!DD51</f>
      </c>
      <c r="H109" s="15">
        <f>ROUND('[3]Source'!AC51*'[3]Source'!I51,2)</f>
        <v>17.3</v>
      </c>
      <c r="I109" s="13"/>
      <c r="J109" s="13">
        <f>IF('[3]Source'!BC51&lt;&gt;0,'[3]Source'!BC51,1)</f>
        <v>6.22</v>
      </c>
      <c r="K109" s="15">
        <f>'[3]Source'!P51</f>
        <v>107.61</v>
      </c>
      <c r="L109" s="31"/>
    </row>
    <row r="110" spans="1:12" ht="15">
      <c r="A110" s="11"/>
      <c r="B110" s="12"/>
      <c r="C110" s="12" t="s">
        <v>58</v>
      </c>
      <c r="D110" s="30" t="s">
        <v>59</v>
      </c>
      <c r="E110" s="1">
        <f>'[3]Source'!BZ51</f>
        <v>80</v>
      </c>
      <c r="F110" s="32"/>
      <c r="G110" s="13"/>
      <c r="H110" s="15">
        <f>SUM(S106:S112)</f>
        <v>0</v>
      </c>
      <c r="I110" s="33"/>
      <c r="J110" s="7">
        <f>'[3]Source'!AT51</f>
        <v>80</v>
      </c>
      <c r="K110" s="15">
        <f>SUM(T106:T112)</f>
        <v>0</v>
      </c>
      <c r="L110" s="31"/>
    </row>
    <row r="111" spans="1:12" ht="15">
      <c r="A111" s="11"/>
      <c r="B111" s="12"/>
      <c r="C111" s="12" t="s">
        <v>60</v>
      </c>
      <c r="D111" s="30" t="s">
        <v>59</v>
      </c>
      <c r="E111" s="1">
        <f>'[3]Source'!CA51</f>
        <v>60</v>
      </c>
      <c r="F111" s="32"/>
      <c r="G111" s="13"/>
      <c r="H111" s="15">
        <f>SUM(U106:U112)</f>
        <v>0</v>
      </c>
      <c r="I111" s="33"/>
      <c r="J111" s="7">
        <f>'[3]Source'!AU51</f>
        <v>60</v>
      </c>
      <c r="K111" s="15">
        <f>SUM(V106:V112)</f>
        <v>0</v>
      </c>
      <c r="L111" s="31"/>
    </row>
    <row r="112" spans="1:12" ht="15">
      <c r="A112" s="16"/>
      <c r="B112" s="17"/>
      <c r="C112" s="17" t="s">
        <v>87</v>
      </c>
      <c r="D112" s="34" t="s">
        <v>61</v>
      </c>
      <c r="E112" s="9">
        <f>'[3]Source'!AQ51</f>
        <v>8</v>
      </c>
      <c r="F112" s="19"/>
      <c r="G112" s="18">
        <f>'[3]Source'!DI51</f>
      </c>
      <c r="H112" s="8"/>
      <c r="I112" s="18"/>
      <c r="J112" s="18"/>
      <c r="K112" s="8"/>
      <c r="L112" s="35">
        <f>'[3]Source'!U51</f>
        <v>16</v>
      </c>
    </row>
    <row r="113" spans="7:12" ht="15">
      <c r="G113" s="96">
        <f>H107+H108+H109+H110+H111</f>
        <v>186.16000000000003</v>
      </c>
      <c r="H113" s="96"/>
      <c r="J113" s="96">
        <f>K107+K108+K109+K110+K111</f>
        <v>3545.08</v>
      </c>
      <c r="K113" s="96"/>
      <c r="L113" s="36">
        <f>'[3]Source'!U51</f>
        <v>16</v>
      </c>
    </row>
    <row r="114" spans="1:12" ht="28.5">
      <c r="A114" s="11" t="str">
        <f>'[3]Source'!E53</f>
        <v>16</v>
      </c>
      <c r="B114" s="12" t="str">
        <f>'[3]Source'!F53</f>
        <v>22-03-001-05</v>
      </c>
      <c r="C114" s="12" t="str">
        <f>'[3]Source'!G53</f>
        <v>Установка фасонных частей стальных сварных диаметром 100-250 мм</v>
      </c>
      <c r="D114" s="30" t="str">
        <f>'[3]Source'!DW53</f>
        <v>т</v>
      </c>
      <c r="E114" s="1">
        <f>'[3]Source'!I53</f>
        <v>0.0056</v>
      </c>
      <c r="F114" s="14">
        <f>'[3]Source'!AL53+'[3]Source'!AM53+'[3]Source'!AO53</f>
        <v>24236.05</v>
      </c>
      <c r="G114" s="13"/>
      <c r="H114" s="15"/>
      <c r="I114" s="13">
        <f>'[3]Source'!BO53</f>
      </c>
      <c r="J114" s="13"/>
      <c r="K114" s="15"/>
      <c r="L114" s="31"/>
    </row>
    <row r="115" spans="1:12" ht="15">
      <c r="A115" s="11"/>
      <c r="B115" s="12"/>
      <c r="C115" s="12" t="s">
        <v>86</v>
      </c>
      <c r="D115" s="30"/>
      <c r="E115" s="1"/>
      <c r="F115" s="14">
        <f>'[3]Source'!AO53</f>
        <v>3923.64</v>
      </c>
      <c r="G115" s="13">
        <f>'[3]Source'!DG53</f>
      </c>
      <c r="H115" s="15">
        <f>ROUND('[3]Source'!AF53*'[3]Source'!I53,2)</f>
        <v>21.97</v>
      </c>
      <c r="I115" s="13"/>
      <c r="J115" s="13">
        <f>IF('[3]Source'!BA53&lt;&gt;0,'[3]Source'!BA53,1)</f>
        <v>20.78</v>
      </c>
      <c r="K115" s="15">
        <f>'[3]Source'!S53</f>
        <v>456.59</v>
      </c>
      <c r="L115" s="31"/>
    </row>
    <row r="116" spans="1:12" ht="15">
      <c r="A116" s="11"/>
      <c r="B116" s="12"/>
      <c r="C116" s="12" t="s">
        <v>62</v>
      </c>
      <c r="D116" s="30"/>
      <c r="E116" s="1"/>
      <c r="F116" s="14">
        <f>'[3]Source'!AM53</f>
        <v>13964.25</v>
      </c>
      <c r="G116" s="13">
        <f>'[3]Source'!DE53</f>
      </c>
      <c r="H116" s="15">
        <f>ROUND('[3]Source'!AD53*'[3]Source'!I53,2)</f>
        <v>78.2</v>
      </c>
      <c r="I116" s="13"/>
      <c r="J116" s="13">
        <f>IF('[3]Source'!BB53&lt;&gt;0,'[3]Source'!BB53,1)</f>
        <v>7.79</v>
      </c>
      <c r="K116" s="15">
        <f>'[3]Source'!Q53</f>
        <v>609.18</v>
      </c>
      <c r="L116" s="31"/>
    </row>
    <row r="117" spans="1:12" ht="15">
      <c r="A117" s="11"/>
      <c r="B117" s="12"/>
      <c r="C117" s="12" t="s">
        <v>63</v>
      </c>
      <c r="D117" s="30"/>
      <c r="E117" s="1"/>
      <c r="F117" s="14">
        <f>'[3]Source'!AN53</f>
        <v>1418.06</v>
      </c>
      <c r="G117" s="13">
        <f>'[3]Source'!DF53</f>
      </c>
      <c r="H117" s="20">
        <f>ROUND('[3]Source'!AE53*'[3]Source'!I53,2)</f>
        <v>7.94</v>
      </c>
      <c r="I117" s="13"/>
      <c r="J117" s="13">
        <f>IF('[3]Source'!BS53&lt;&gt;0,'[3]Source'!BS53,1)</f>
        <v>20.78</v>
      </c>
      <c r="K117" s="20">
        <f>'[3]Source'!R53</f>
        <v>165.02</v>
      </c>
      <c r="L117" s="31"/>
    </row>
    <row r="118" spans="1:12" ht="15">
      <c r="A118" s="11"/>
      <c r="B118" s="12"/>
      <c r="C118" s="12" t="s">
        <v>64</v>
      </c>
      <c r="D118" s="30"/>
      <c r="E118" s="1"/>
      <c r="F118" s="14">
        <f>'[3]Source'!AL53</f>
        <v>6348.16</v>
      </c>
      <c r="G118" s="13">
        <f>'[3]Source'!DD53</f>
      </c>
      <c r="H118" s="15">
        <f>ROUND('[3]Source'!AC53*'[3]Source'!I53,2)</f>
        <v>35.55</v>
      </c>
      <c r="I118" s="13"/>
      <c r="J118" s="13">
        <f>IF('[3]Source'!BC53&lt;&gt;0,'[3]Source'!BC53,1)</f>
        <v>6.22</v>
      </c>
      <c r="K118" s="15">
        <f>'[3]Source'!P53</f>
        <v>221.12</v>
      </c>
      <c r="L118" s="31"/>
    </row>
    <row r="119" spans="1:12" ht="15">
      <c r="A119" s="11"/>
      <c r="B119" s="12"/>
      <c r="C119" s="12" t="s">
        <v>58</v>
      </c>
      <c r="D119" s="30" t="s">
        <v>59</v>
      </c>
      <c r="E119" s="1">
        <f>'[3]Source'!BZ53</f>
        <v>130</v>
      </c>
      <c r="F119" s="32"/>
      <c r="G119" s="13"/>
      <c r="H119" s="15">
        <f>SUM(S114:S121)</f>
        <v>0</v>
      </c>
      <c r="I119" s="33"/>
      <c r="J119" s="7">
        <f>'[3]Source'!AT53</f>
        <v>130</v>
      </c>
      <c r="K119" s="15">
        <f>SUM(T114:T121)</f>
        <v>0</v>
      </c>
      <c r="L119" s="31"/>
    </row>
    <row r="120" spans="1:12" ht="15">
      <c r="A120" s="11"/>
      <c r="B120" s="12"/>
      <c r="C120" s="12" t="s">
        <v>60</v>
      </c>
      <c r="D120" s="30" t="s">
        <v>59</v>
      </c>
      <c r="E120" s="1">
        <f>'[3]Source'!CA53</f>
        <v>89</v>
      </c>
      <c r="F120" s="32"/>
      <c r="G120" s="13"/>
      <c r="H120" s="15">
        <f>SUM(U114:U121)</f>
        <v>0</v>
      </c>
      <c r="I120" s="33"/>
      <c r="J120" s="7">
        <f>'[3]Source'!AU53</f>
        <v>89</v>
      </c>
      <c r="K120" s="15">
        <f>SUM(V114:V121)</f>
        <v>0</v>
      </c>
      <c r="L120" s="31"/>
    </row>
    <row r="121" spans="1:12" ht="15">
      <c r="A121" s="16"/>
      <c r="B121" s="17"/>
      <c r="C121" s="17" t="s">
        <v>87</v>
      </c>
      <c r="D121" s="34" t="s">
        <v>61</v>
      </c>
      <c r="E121" s="9">
        <f>'[3]Source'!AQ53</f>
        <v>353.8</v>
      </c>
      <c r="F121" s="19"/>
      <c r="G121" s="18">
        <f>'[3]Source'!DI53</f>
      </c>
      <c r="H121" s="8"/>
      <c r="I121" s="18"/>
      <c r="J121" s="18"/>
      <c r="K121" s="8"/>
      <c r="L121" s="35">
        <f>'[3]Source'!U53</f>
        <v>1.9812800000000002</v>
      </c>
    </row>
    <row r="122" spans="7:12" ht="15">
      <c r="G122" s="96">
        <f>H115+H116+H118+H119+H120</f>
        <v>135.72</v>
      </c>
      <c r="H122" s="96"/>
      <c r="J122" s="96">
        <f>K115+K116+K118+K119+K120</f>
        <v>1286.8899999999999</v>
      </c>
      <c r="K122" s="96"/>
      <c r="L122" s="36">
        <f>'[3]Source'!U53</f>
        <v>1.9812800000000002</v>
      </c>
    </row>
    <row r="123" spans="1:12" ht="71.25">
      <c r="A123" s="16" t="str">
        <f>'[3]Source'!E55</f>
        <v>17</v>
      </c>
      <c r="B123" s="17" t="str">
        <f>'[3]Source'!F55</f>
        <v>23.8.04.06-0064</v>
      </c>
      <c r="C123" s="17" t="str">
        <f>'[3]Source'!G55</f>
        <v>Отводы 90 град. с радиусом кривизны R=1,5 Ду на Ру до 16 МПа (160 кгс/см2), диаметром условного прохода 50 мм, наружным диаметром 57 мм, толщиной стенки 4 мм</v>
      </c>
      <c r="D123" s="34" t="str">
        <f>'[3]Source'!DW55</f>
        <v>шт.</v>
      </c>
      <c r="E123" s="9">
        <f>'[3]Source'!I55</f>
        <v>8</v>
      </c>
      <c r="F123" s="19">
        <f>'[3]Source'!AL55</f>
        <v>27.02</v>
      </c>
      <c r="G123" s="18">
        <f>'[3]Source'!DD55</f>
      </c>
      <c r="H123" s="8">
        <f>ROUND('[3]Source'!AC55*'[3]Source'!I55,2)</f>
        <v>216.16</v>
      </c>
      <c r="I123" s="18">
        <f>'[3]Source'!BO55</f>
      </c>
      <c r="J123" s="18">
        <f>IF('[3]Source'!BC55&lt;&gt;0,'[3]Source'!BC55,1)</f>
        <v>6.22</v>
      </c>
      <c r="K123" s="8">
        <f>'[3]Source'!P55</f>
        <v>1344.52</v>
      </c>
      <c r="L123" s="51"/>
    </row>
    <row r="124" spans="7:12" ht="15">
      <c r="G124" s="96">
        <f>H123</f>
        <v>216.16</v>
      </c>
      <c r="H124" s="96"/>
      <c r="J124" s="96">
        <f>K123</f>
        <v>1344.52</v>
      </c>
      <c r="K124" s="96"/>
      <c r="L124" s="36">
        <f>'[3]Source'!U55</f>
        <v>0</v>
      </c>
    </row>
    <row r="125" spans="1:12" ht="28.5">
      <c r="A125" s="11" t="str">
        <f>'[3]Source'!E57</f>
        <v>18</v>
      </c>
      <c r="B125" s="12" t="str">
        <f>'[3]Source'!F57</f>
        <v>52-5-1</v>
      </c>
      <c r="C125" s="12" t="str">
        <f>'[3]Source'!G57</f>
        <v>Устройство кирпичных столбчатых фундаментов</v>
      </c>
      <c r="D125" s="30" t="str">
        <f>'[3]Source'!DW57</f>
        <v>м3</v>
      </c>
      <c r="E125" s="1">
        <f>'[3]Source'!I57</f>
        <v>0.4</v>
      </c>
      <c r="F125" s="14">
        <f>'[3]Source'!AL57+'[3]Source'!AM57+'[3]Source'!AO57</f>
        <v>238.07999999999998</v>
      </c>
      <c r="G125" s="13"/>
      <c r="H125" s="15"/>
      <c r="I125" s="13">
        <f>'[3]Source'!BO57</f>
      </c>
      <c r="J125" s="13"/>
      <c r="K125" s="15"/>
      <c r="L125" s="31"/>
    </row>
    <row r="126" spans="1:12" ht="15">
      <c r="A126" s="11"/>
      <c r="B126" s="12"/>
      <c r="C126" s="12" t="s">
        <v>86</v>
      </c>
      <c r="D126" s="30"/>
      <c r="E126" s="1"/>
      <c r="F126" s="14">
        <f>'[3]Source'!AO57</f>
        <v>111.6</v>
      </c>
      <c r="G126" s="13">
        <f>'[3]Source'!DG57</f>
      </c>
      <c r="H126" s="15">
        <f>ROUND('[3]Source'!AF57*'[3]Source'!I57,2)</f>
        <v>44.64</v>
      </c>
      <c r="I126" s="13"/>
      <c r="J126" s="13">
        <f>IF('[3]Source'!BA57&lt;&gt;0,'[3]Source'!BA57,1)</f>
        <v>20.78</v>
      </c>
      <c r="K126" s="15">
        <f>'[3]Source'!S57</f>
        <v>927.62</v>
      </c>
      <c r="L126" s="31"/>
    </row>
    <row r="127" spans="1:12" ht="15">
      <c r="A127" s="11"/>
      <c r="B127" s="12"/>
      <c r="C127" s="12" t="s">
        <v>62</v>
      </c>
      <c r="D127" s="30"/>
      <c r="E127" s="1"/>
      <c r="F127" s="14">
        <f>'[3]Source'!AM57</f>
        <v>0.66</v>
      </c>
      <c r="G127" s="13">
        <f>'[3]Source'!DE57</f>
      </c>
      <c r="H127" s="15">
        <f>ROUND('[3]Source'!AD57*'[3]Source'!I57,2)</f>
        <v>0.26</v>
      </c>
      <c r="I127" s="13"/>
      <c r="J127" s="13">
        <f>IF('[3]Source'!BB57&lt;&gt;0,'[3]Source'!BB57,1)</f>
        <v>7.79</v>
      </c>
      <c r="K127" s="15">
        <f>'[3]Source'!Q57</f>
        <v>2.06</v>
      </c>
      <c r="L127" s="31"/>
    </row>
    <row r="128" spans="1:12" ht="15">
      <c r="A128" s="11"/>
      <c r="B128" s="12"/>
      <c r="C128" s="12" t="s">
        <v>63</v>
      </c>
      <c r="D128" s="30"/>
      <c r="E128" s="1"/>
      <c r="F128" s="14">
        <f>'[3]Source'!AN57</f>
        <v>0.12</v>
      </c>
      <c r="G128" s="13">
        <f>'[3]Source'!DF57</f>
      </c>
      <c r="H128" s="20">
        <f>ROUND('[3]Source'!AE57*'[3]Source'!I57,2)</f>
        <v>0.05</v>
      </c>
      <c r="I128" s="13"/>
      <c r="J128" s="13">
        <f>IF('[3]Source'!BS57&lt;&gt;0,'[3]Source'!BS57,1)</f>
        <v>20.78</v>
      </c>
      <c r="K128" s="20">
        <f>'[3]Source'!R57</f>
        <v>1</v>
      </c>
      <c r="L128" s="31"/>
    </row>
    <row r="129" spans="1:12" ht="15">
      <c r="A129" s="11"/>
      <c r="B129" s="12"/>
      <c r="C129" s="12" t="s">
        <v>64</v>
      </c>
      <c r="D129" s="30"/>
      <c r="E129" s="1"/>
      <c r="F129" s="14">
        <f>'[3]Source'!AL57</f>
        <v>125.82</v>
      </c>
      <c r="G129" s="13">
        <f>'[3]Source'!DD57</f>
      </c>
      <c r="H129" s="15">
        <f>ROUND('[3]Source'!AC57*'[3]Source'!I57,2)</f>
        <v>50.33</v>
      </c>
      <c r="I129" s="13"/>
      <c r="J129" s="13">
        <f>IF('[3]Source'!BC57&lt;&gt;0,'[3]Source'!BC57,1)</f>
        <v>6.22</v>
      </c>
      <c r="K129" s="15">
        <f>'[3]Source'!P57</f>
        <v>313.04</v>
      </c>
      <c r="L129" s="31"/>
    </row>
    <row r="130" spans="1:12" ht="15">
      <c r="A130" s="11"/>
      <c r="B130" s="12"/>
      <c r="C130" s="12" t="s">
        <v>58</v>
      </c>
      <c r="D130" s="30" t="s">
        <v>59</v>
      </c>
      <c r="E130" s="1">
        <f>'[3]Source'!BZ57</f>
        <v>93</v>
      </c>
      <c r="F130" s="32"/>
      <c r="G130" s="13"/>
      <c r="H130" s="15">
        <f>SUM(S125:S132)</f>
        <v>0</v>
      </c>
      <c r="I130" s="33"/>
      <c r="J130" s="7">
        <f>'[3]Source'!AT57</f>
        <v>93</v>
      </c>
      <c r="K130" s="15">
        <f>SUM(T125:T132)</f>
        <v>0</v>
      </c>
      <c r="L130" s="31"/>
    </row>
    <row r="131" spans="1:12" ht="15">
      <c r="A131" s="11"/>
      <c r="B131" s="12"/>
      <c r="C131" s="12" t="s">
        <v>60</v>
      </c>
      <c r="D131" s="30" t="s">
        <v>59</v>
      </c>
      <c r="E131" s="1">
        <f>'[3]Source'!CA57</f>
        <v>75</v>
      </c>
      <c r="F131" s="32"/>
      <c r="G131" s="13"/>
      <c r="H131" s="15">
        <f>SUM(U125:U132)</f>
        <v>0</v>
      </c>
      <c r="I131" s="33"/>
      <c r="J131" s="7">
        <f>'[3]Source'!AU57</f>
        <v>75</v>
      </c>
      <c r="K131" s="15">
        <f>SUM(V125:V132)</f>
        <v>0</v>
      </c>
      <c r="L131" s="31"/>
    </row>
    <row r="132" spans="1:12" ht="15">
      <c r="A132" s="16"/>
      <c r="B132" s="17"/>
      <c r="C132" s="17" t="s">
        <v>87</v>
      </c>
      <c r="D132" s="34" t="s">
        <v>61</v>
      </c>
      <c r="E132" s="9">
        <f>'[3]Source'!AQ57</f>
        <v>13.66</v>
      </c>
      <c r="F132" s="19"/>
      <c r="G132" s="18">
        <f>'[3]Source'!DI57</f>
      </c>
      <c r="H132" s="8"/>
      <c r="I132" s="18"/>
      <c r="J132" s="18"/>
      <c r="K132" s="8"/>
      <c r="L132" s="35">
        <f>'[3]Source'!U57</f>
        <v>5.464</v>
      </c>
    </row>
    <row r="133" spans="7:12" ht="14.25" customHeight="1">
      <c r="G133" s="96">
        <f>H126+H127+H129+H130+H131</f>
        <v>95.22999999999999</v>
      </c>
      <c r="H133" s="96"/>
      <c r="J133" s="96">
        <f>K126+K127+K129+K130+K131</f>
        <v>1242.72</v>
      </c>
      <c r="K133" s="96"/>
      <c r="L133" s="36">
        <f>'[3]Source'!U57</f>
        <v>5.464</v>
      </c>
    </row>
    <row r="134" spans="1:12" ht="15" customHeight="1" hidden="1">
      <c r="A134" s="16" t="str">
        <f>'[3]Source'!E59</f>
        <v>19</v>
      </c>
      <c r="B134" s="17" t="str">
        <f>'[3]Source'!F59</f>
        <v>06.1.01.05-0037</v>
      </c>
      <c r="C134" s="17" t="str">
        <f>'[3]Source'!G59</f>
        <v>Кирпич керамический одинарный, размером 250х120х65 мм, марка 150</v>
      </c>
      <c r="D134" s="34" t="str">
        <f>'[3]Source'!DW59</f>
        <v>1000 шт.</v>
      </c>
      <c r="E134" s="9">
        <f>'[3]Source'!I59</f>
        <v>0.158</v>
      </c>
      <c r="F134" s="19">
        <f>'[3]Source'!AL59</f>
        <v>2027</v>
      </c>
      <c r="G134" s="18">
        <f>'[3]Source'!DD59</f>
      </c>
      <c r="H134" s="8">
        <f>ROUND('[3]Source'!AC59*'[3]Source'!I59,2)</f>
        <v>320.27</v>
      </c>
      <c r="I134" s="18">
        <f>'[3]Source'!BO59</f>
      </c>
      <c r="J134" s="18">
        <f>IF('[3]Source'!BC59&lt;&gt;0,'[3]Source'!BC59,1)</f>
        <v>6.22</v>
      </c>
      <c r="K134" s="8">
        <f>'[3]Source'!P59</f>
        <v>1992.05</v>
      </c>
      <c r="L134" s="51"/>
    </row>
    <row r="135" spans="7:12" ht="15" customHeight="1" hidden="1">
      <c r="G135" s="96">
        <f>H134</f>
        <v>320.27</v>
      </c>
      <c r="H135" s="96"/>
      <c r="J135" s="96">
        <f>K134</f>
        <v>1992.05</v>
      </c>
      <c r="K135" s="96"/>
      <c r="L135" s="36">
        <f>'[3]Source'!U59</f>
        <v>0</v>
      </c>
    </row>
    <row r="136" spans="1:12" ht="15" customHeight="1" hidden="1">
      <c r="A136" s="11" t="str">
        <f>'[3]Source'!E61</f>
        <v>20</v>
      </c>
      <c r="B136" s="12" t="str">
        <f>'[3]Source'!F61</f>
        <v>09-03-039-01</v>
      </c>
      <c r="C136" s="12" t="str">
        <f>'[3]Source'!G61</f>
        <v>Монтаж опорных конструкций для крепления трубопроводов внутри зданий и сооружений массой до 0,1 т</v>
      </c>
      <c r="D136" s="30" t="str">
        <f>'[3]Source'!DW61</f>
        <v>т</v>
      </c>
      <c r="E136" s="1">
        <f>'[3]Source'!I61</f>
        <v>0.04</v>
      </c>
      <c r="F136" s="14">
        <f>'[3]Source'!AL61+'[3]Source'!AM61+'[3]Source'!AO61</f>
        <v>1253.76</v>
      </c>
      <c r="G136" s="13"/>
      <c r="H136" s="15"/>
      <c r="I136" s="13">
        <f>'[3]Source'!BO61</f>
      </c>
      <c r="J136" s="13"/>
      <c r="K136" s="15"/>
      <c r="L136" s="31"/>
    </row>
    <row r="137" spans="1:12" ht="15" customHeight="1" hidden="1">
      <c r="A137" s="11"/>
      <c r="B137" s="12"/>
      <c r="C137" s="12" t="s">
        <v>86</v>
      </c>
      <c r="D137" s="30"/>
      <c r="E137" s="1"/>
      <c r="F137" s="14">
        <f>'[3]Source'!AO61</f>
        <v>727.6</v>
      </c>
      <c r="G137" s="13">
        <f>'[3]Source'!DG61</f>
      </c>
      <c r="H137" s="15">
        <f>ROUND('[3]Source'!AF61*'[3]Source'!I61,2)</f>
        <v>29.1</v>
      </c>
      <c r="I137" s="13"/>
      <c r="J137" s="13">
        <f>IF('[3]Source'!BA61&lt;&gt;0,'[3]Source'!BA61,1)</f>
        <v>20.78</v>
      </c>
      <c r="K137" s="15">
        <f>'[3]Source'!S61</f>
        <v>604.78</v>
      </c>
      <c r="L137" s="31"/>
    </row>
    <row r="138" spans="1:12" ht="15" customHeight="1" hidden="1">
      <c r="A138" s="11"/>
      <c r="B138" s="12"/>
      <c r="C138" s="12" t="s">
        <v>62</v>
      </c>
      <c r="D138" s="30"/>
      <c r="E138" s="1"/>
      <c r="F138" s="14">
        <f>'[3]Source'!AM61</f>
        <v>287.99</v>
      </c>
      <c r="G138" s="13">
        <f>'[3]Source'!DE61</f>
      </c>
      <c r="H138" s="15">
        <f>ROUND('[3]Source'!AD61*'[3]Source'!I61,2)</f>
        <v>11.52</v>
      </c>
      <c r="I138" s="13"/>
      <c r="J138" s="13">
        <f>IF('[3]Source'!BB61&lt;&gt;0,'[3]Source'!BB61,1)</f>
        <v>7.79</v>
      </c>
      <c r="K138" s="15">
        <f>'[3]Source'!Q61</f>
        <v>89.74</v>
      </c>
      <c r="L138" s="31"/>
    </row>
    <row r="139" spans="1:12" ht="15" customHeight="1" hidden="1">
      <c r="A139" s="11"/>
      <c r="B139" s="12"/>
      <c r="C139" s="12" t="s">
        <v>63</v>
      </c>
      <c r="D139" s="30"/>
      <c r="E139" s="1"/>
      <c r="F139" s="14">
        <f>'[3]Source'!AN61</f>
        <v>3.35</v>
      </c>
      <c r="G139" s="13">
        <f>'[3]Source'!DF61</f>
      </c>
      <c r="H139" s="20">
        <f>ROUND('[3]Source'!AE61*'[3]Source'!I61,2)</f>
        <v>0.13</v>
      </c>
      <c r="I139" s="13"/>
      <c r="J139" s="13">
        <f>IF('[3]Source'!BS61&lt;&gt;0,'[3]Source'!BS61,1)</f>
        <v>20.78</v>
      </c>
      <c r="K139" s="20">
        <f>'[3]Source'!R61</f>
        <v>2.78</v>
      </c>
      <c r="L139" s="31"/>
    </row>
    <row r="140" spans="1:12" ht="15" customHeight="1" hidden="1">
      <c r="A140" s="11"/>
      <c r="B140" s="12"/>
      <c r="C140" s="12" t="s">
        <v>64</v>
      </c>
      <c r="D140" s="30"/>
      <c r="E140" s="1"/>
      <c r="F140" s="14">
        <f>'[3]Source'!AL61</f>
        <v>238.17</v>
      </c>
      <c r="G140" s="13">
        <f>'[3]Source'!DD61</f>
      </c>
      <c r="H140" s="15">
        <f>ROUND('[3]Source'!AC61*'[3]Source'!I61,2)</f>
        <v>9.53</v>
      </c>
      <c r="I140" s="13"/>
      <c r="J140" s="13">
        <f>IF('[3]Source'!BC61&lt;&gt;0,'[3]Source'!BC61,1)</f>
        <v>6.22</v>
      </c>
      <c r="K140" s="15">
        <f>'[3]Source'!P61</f>
        <v>59.26</v>
      </c>
      <c r="L140" s="31"/>
    </row>
    <row r="141" spans="1:12" ht="15" customHeight="1" hidden="1">
      <c r="A141" s="11"/>
      <c r="B141" s="12"/>
      <c r="C141" s="12" t="s">
        <v>58</v>
      </c>
      <c r="D141" s="30" t="s">
        <v>59</v>
      </c>
      <c r="E141" s="1">
        <f>'[3]Source'!BZ61</f>
        <v>90</v>
      </c>
      <c r="F141" s="32"/>
      <c r="G141" s="13"/>
      <c r="H141" s="15">
        <f>SUM(S136:S143)</f>
        <v>0</v>
      </c>
      <c r="I141" s="33"/>
      <c r="J141" s="7">
        <f>'[3]Source'!AT61</f>
        <v>90</v>
      </c>
      <c r="K141" s="15">
        <f>SUM(T136:T143)</f>
        <v>0</v>
      </c>
      <c r="L141" s="31"/>
    </row>
    <row r="142" spans="1:12" ht="15" customHeight="1">
      <c r="A142" s="11"/>
      <c r="B142" s="12"/>
      <c r="C142" s="12" t="s">
        <v>60</v>
      </c>
      <c r="D142" s="30" t="s">
        <v>59</v>
      </c>
      <c r="E142" s="1">
        <f>'[3]Source'!CA61</f>
        <v>85</v>
      </c>
      <c r="F142" s="32"/>
      <c r="G142" s="13"/>
      <c r="H142" s="15">
        <f>SUM(U136:U143)</f>
        <v>0</v>
      </c>
      <c r="I142" s="33"/>
      <c r="J142" s="7">
        <f>'[3]Source'!AU61</f>
        <v>85</v>
      </c>
      <c r="K142" s="15">
        <f>SUM(V136:V143)</f>
        <v>0</v>
      </c>
      <c r="L142" s="31"/>
    </row>
    <row r="143" spans="1:12" ht="15">
      <c r="A143" s="16"/>
      <c r="B143" s="17"/>
      <c r="C143" s="17" t="s">
        <v>87</v>
      </c>
      <c r="D143" s="34" t="s">
        <v>61</v>
      </c>
      <c r="E143" s="9">
        <f>'[3]Source'!AQ61</f>
        <v>80.22</v>
      </c>
      <c r="F143" s="19"/>
      <c r="G143" s="18">
        <f>'[3]Source'!DI61</f>
      </c>
      <c r="H143" s="8"/>
      <c r="I143" s="18"/>
      <c r="J143" s="18"/>
      <c r="K143" s="8"/>
      <c r="L143" s="35">
        <f>'[3]Source'!U61</f>
        <v>3.2088</v>
      </c>
    </row>
    <row r="144" spans="7:12" ht="15">
      <c r="G144" s="96">
        <f>H137+H138+H140+H141+H142</f>
        <v>50.150000000000006</v>
      </c>
      <c r="H144" s="96"/>
      <c r="J144" s="96">
        <f>K137+K138+K140+K141+K142</f>
        <v>753.78</v>
      </c>
      <c r="K144" s="96"/>
      <c r="L144" s="36">
        <f>'[3]Source'!U61</f>
        <v>3.2088</v>
      </c>
    </row>
    <row r="145" spans="1:12" ht="85.5">
      <c r="A145" s="16" t="str">
        <f>'[3]Source'!E63</f>
        <v>21</v>
      </c>
      <c r="B145" s="17" t="str">
        <f>'[3]Source'!F63</f>
        <v>08.4.01.02-0013</v>
      </c>
      <c r="C145" s="17" t="str">
        <f>'[3]Source'!G63</f>
        <v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v>
      </c>
      <c r="D145" s="34" t="str">
        <f>'[3]Source'!DW63</f>
        <v>т</v>
      </c>
      <c r="E145" s="9">
        <f>'[3]Source'!I63</f>
        <v>0.04</v>
      </c>
      <c r="F145" s="19">
        <f>'[3]Source'!AL63</f>
        <v>6800</v>
      </c>
      <c r="G145" s="18">
        <f>'[3]Source'!DD63</f>
      </c>
      <c r="H145" s="8">
        <f>ROUND('[3]Source'!AC63*'[3]Source'!I63,2)</f>
        <v>272</v>
      </c>
      <c r="I145" s="18">
        <f>'[3]Source'!BO63</f>
      </c>
      <c r="J145" s="18">
        <f>IF('[3]Source'!BC63&lt;&gt;0,'[3]Source'!BC63,1)</f>
        <v>6.22</v>
      </c>
      <c r="K145" s="8">
        <f>'[3]Source'!P63</f>
        <v>1691.84</v>
      </c>
      <c r="L145" s="51"/>
    </row>
    <row r="146" spans="7:12" ht="15">
      <c r="G146" s="96">
        <f>H145</f>
        <v>272</v>
      </c>
      <c r="H146" s="96"/>
      <c r="J146" s="96">
        <f>K145</f>
        <v>1691.84</v>
      </c>
      <c r="K146" s="96"/>
      <c r="L146" s="36">
        <f>'[3]Source'!U63</f>
        <v>0</v>
      </c>
    </row>
    <row r="148" spans="1:12" ht="15">
      <c r="A148" s="93" t="str">
        <f>CONCATENATE("Итого по локальной смете: ",IF('[3]Source'!G65&lt;&gt;"Новая локальная смета",'[3]Source'!G65,""))</f>
        <v>Итого по локальной смете: </v>
      </c>
      <c r="B148" s="93"/>
      <c r="C148" s="93"/>
      <c r="D148" s="93"/>
      <c r="E148" s="93"/>
      <c r="F148" s="93"/>
      <c r="G148" s="94"/>
      <c r="H148" s="94"/>
      <c r="I148" s="37"/>
      <c r="J148" s="94"/>
      <c r="K148" s="94"/>
      <c r="L148" s="36"/>
    </row>
    <row r="149" spans="3:11" ht="15">
      <c r="C149" s="91" t="str">
        <f>'[3]Source'!H93</f>
        <v>Итого</v>
      </c>
      <c r="D149" s="91"/>
      <c r="E149" s="91"/>
      <c r="F149" s="91"/>
      <c r="G149" s="91"/>
      <c r="H149" s="91"/>
      <c r="I149" s="91"/>
      <c r="J149" s="92">
        <f>IF('[3]Source'!P93=0,"",'[3]Source'!P93)</f>
        <v>109916.6</v>
      </c>
      <c r="K149" s="92"/>
    </row>
    <row r="150" spans="3:11" ht="15">
      <c r="C150" s="91" t="str">
        <f>'[3]Source'!H94</f>
        <v>НДС 20%</v>
      </c>
      <c r="D150" s="91"/>
      <c r="E150" s="91"/>
      <c r="F150" s="91"/>
      <c r="G150" s="91"/>
      <c r="H150" s="91"/>
      <c r="I150" s="91"/>
      <c r="J150" s="92">
        <f>IF('[3]Source'!P94=0,"",'[3]Source'!P94)</f>
        <v>21983.32</v>
      </c>
      <c r="K150" s="92"/>
    </row>
    <row r="151" spans="1:12" ht="15">
      <c r="A151" s="38"/>
      <c r="B151" s="38"/>
      <c r="C151" s="93" t="str">
        <f>'[3]Source'!H95</f>
        <v>Всего</v>
      </c>
      <c r="D151" s="93"/>
      <c r="E151" s="93"/>
      <c r="F151" s="93"/>
      <c r="G151" s="93"/>
      <c r="H151" s="93"/>
      <c r="I151" s="93"/>
      <c r="J151" s="94">
        <f>IF('[3]Source'!P95=0,"",'[3]Source'!P95)</f>
        <v>131899.92</v>
      </c>
      <c r="K151" s="94"/>
      <c r="L151" s="38"/>
    </row>
  </sheetData>
  <sheetProtection/>
  <mergeCells count="88">
    <mergeCell ref="C149:I149"/>
    <mergeCell ref="J149:K149"/>
    <mergeCell ref="C150:I150"/>
    <mergeCell ref="J150:K150"/>
    <mergeCell ref="C151:I151"/>
    <mergeCell ref="J151:K151"/>
    <mergeCell ref="G135:H135"/>
    <mergeCell ref="J135:K135"/>
    <mergeCell ref="G144:H144"/>
    <mergeCell ref="G146:H146"/>
    <mergeCell ref="A148:F148"/>
    <mergeCell ref="G148:H148"/>
    <mergeCell ref="J148:K148"/>
    <mergeCell ref="J146:K146"/>
    <mergeCell ref="J144:K144"/>
    <mergeCell ref="G122:H122"/>
    <mergeCell ref="J122:K122"/>
    <mergeCell ref="G124:H124"/>
    <mergeCell ref="J124:K124"/>
    <mergeCell ref="G133:H133"/>
    <mergeCell ref="J133:K133"/>
    <mergeCell ref="G92:H92"/>
    <mergeCell ref="J92:K92"/>
    <mergeCell ref="G94:H94"/>
    <mergeCell ref="J94:K94"/>
    <mergeCell ref="G103:H103"/>
    <mergeCell ref="J103:K103"/>
    <mergeCell ref="G105:H105"/>
    <mergeCell ref="J105:K105"/>
    <mergeCell ref="G113:H113"/>
    <mergeCell ref="J113:K113"/>
    <mergeCell ref="G70:H70"/>
    <mergeCell ref="J70:K70"/>
    <mergeCell ref="G79:H79"/>
    <mergeCell ref="J79:K79"/>
    <mergeCell ref="G81:H81"/>
    <mergeCell ref="J81:K81"/>
    <mergeCell ref="G83:H83"/>
    <mergeCell ref="J83:K83"/>
    <mergeCell ref="G46:H46"/>
    <mergeCell ref="J46:K46"/>
    <mergeCell ref="G52:H52"/>
    <mergeCell ref="J52:K52"/>
    <mergeCell ref="G61:H61"/>
    <mergeCell ref="J61:K61"/>
    <mergeCell ref="G44:H44"/>
    <mergeCell ref="J44:K44"/>
    <mergeCell ref="C29:F29"/>
    <mergeCell ref="G29:H29"/>
    <mergeCell ref="I29:J29"/>
    <mergeCell ref="K29:L29"/>
    <mergeCell ref="A31:L31"/>
    <mergeCell ref="A35:L35"/>
    <mergeCell ref="C27:F27"/>
    <mergeCell ref="G27:H27"/>
    <mergeCell ref="I27:J27"/>
    <mergeCell ref="K27:L27"/>
    <mergeCell ref="C28:F28"/>
    <mergeCell ref="G28:H28"/>
    <mergeCell ref="I28:J28"/>
    <mergeCell ref="K28:L28"/>
    <mergeCell ref="C25:F25"/>
    <mergeCell ref="G25:H25"/>
    <mergeCell ref="I25:J25"/>
    <mergeCell ref="K25:L25"/>
    <mergeCell ref="C26:F26"/>
    <mergeCell ref="G26:H26"/>
    <mergeCell ref="I26:J26"/>
    <mergeCell ref="K26:L26"/>
    <mergeCell ref="B14:K14"/>
    <mergeCell ref="B16:K16"/>
    <mergeCell ref="B18:K18"/>
    <mergeCell ref="B19:K19"/>
    <mergeCell ref="A21:L21"/>
    <mergeCell ref="G24:H24"/>
    <mergeCell ref="I24:J24"/>
    <mergeCell ref="B6:E6"/>
    <mergeCell ref="H6:L6"/>
    <mergeCell ref="B9:K9"/>
    <mergeCell ref="B10:K10"/>
    <mergeCell ref="F12:G12"/>
    <mergeCell ref="H12:K12"/>
    <mergeCell ref="B2:E2"/>
    <mergeCell ref="H2:L2"/>
    <mergeCell ref="B3:E3"/>
    <mergeCell ref="H3:L3"/>
    <mergeCell ref="B5:E5"/>
    <mergeCell ref="H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9">
      <selection activeCell="D16" sqref="D16"/>
    </sheetView>
  </sheetViews>
  <sheetFormatPr defaultColWidth="9.140625" defaultRowHeight="15"/>
  <cols>
    <col min="1" max="1" width="8.7109375" style="0" customWidth="1"/>
    <col min="2" max="2" width="18.00390625" style="0" customWidth="1"/>
    <col min="3" max="3" width="30.00390625" style="0" customWidth="1"/>
    <col min="4" max="4" width="17.57421875" style="0" customWidth="1"/>
    <col min="5" max="5" width="16.140625" style="0" customWidth="1"/>
  </cols>
  <sheetData>
    <row r="1" spans="4:5" ht="15">
      <c r="D1" s="118" t="s">
        <v>97</v>
      </c>
      <c r="E1" s="118"/>
    </row>
    <row r="2" spans="4:5" ht="15">
      <c r="D2" s="119" t="s">
        <v>98</v>
      </c>
      <c r="E2" s="119"/>
    </row>
    <row r="3" spans="4:5" ht="15">
      <c r="D3" s="39"/>
      <c r="E3" s="39"/>
    </row>
    <row r="4" spans="1:5" ht="15.75">
      <c r="A4" s="120" t="s">
        <v>99</v>
      </c>
      <c r="B4" s="120"/>
      <c r="C4" s="120"/>
      <c r="D4" s="120"/>
      <c r="E4" s="120"/>
    </row>
    <row r="5" spans="1:5" ht="15.75">
      <c r="A5" s="121" t="s">
        <v>100</v>
      </c>
      <c r="B5" s="121"/>
      <c r="C5" s="121"/>
      <c r="D5" s="121"/>
      <c r="E5" s="121"/>
    </row>
    <row r="6" spans="1:5" ht="15.75">
      <c r="A6" s="40"/>
      <c r="B6" s="40"/>
      <c r="C6" s="40"/>
      <c r="D6" s="40"/>
      <c r="E6" s="40"/>
    </row>
    <row r="7" spans="1:5" ht="15.75">
      <c r="A7" s="115" t="s">
        <v>101</v>
      </c>
      <c r="B7" s="115"/>
      <c r="C7" s="115"/>
      <c r="D7" s="115"/>
      <c r="E7" s="115"/>
    </row>
    <row r="8" spans="1:5" ht="18.75">
      <c r="A8" s="122" t="s">
        <v>88</v>
      </c>
      <c r="B8" s="122"/>
      <c r="C8" s="122"/>
      <c r="D8" s="122"/>
      <c r="E8" s="122"/>
    </row>
    <row r="9" spans="1:5" ht="15.75">
      <c r="A9" s="115" t="s">
        <v>102</v>
      </c>
      <c r="B9" s="115"/>
      <c r="C9" s="115"/>
      <c r="D9" s="115"/>
      <c r="E9" s="115"/>
    </row>
    <row r="10" ht="15.75">
      <c r="A10" s="41"/>
    </row>
    <row r="11" spans="1:5" ht="15.75">
      <c r="A11" s="115" t="s">
        <v>103</v>
      </c>
      <c r="B11" s="115"/>
      <c r="C11" s="115"/>
      <c r="D11" s="115"/>
      <c r="E11" s="115"/>
    </row>
    <row r="13" spans="1:5" ht="72">
      <c r="A13" s="116" t="s">
        <v>104</v>
      </c>
      <c r="B13" s="116" t="s">
        <v>105</v>
      </c>
      <c r="C13" s="116" t="s">
        <v>106</v>
      </c>
      <c r="D13" s="42" t="s">
        <v>107</v>
      </c>
      <c r="E13" s="116" t="s">
        <v>108</v>
      </c>
    </row>
    <row r="14" spans="1:5" ht="24">
      <c r="A14" s="117"/>
      <c r="B14" s="117"/>
      <c r="C14" s="117"/>
      <c r="D14" s="42" t="s">
        <v>109</v>
      </c>
      <c r="E14" s="117"/>
    </row>
    <row r="15" spans="1:5" ht="15">
      <c r="A15" s="43">
        <v>1</v>
      </c>
      <c r="B15" s="43">
        <v>2</v>
      </c>
      <c r="C15" s="43">
        <v>3</v>
      </c>
      <c r="D15" s="43">
        <v>4</v>
      </c>
      <c r="E15" s="43">
        <v>5</v>
      </c>
    </row>
    <row r="16" spans="1:5" ht="105">
      <c r="A16" s="44">
        <v>1</v>
      </c>
      <c r="B16" s="45" t="s">
        <v>110</v>
      </c>
      <c r="C16" s="45" t="s">
        <v>111</v>
      </c>
      <c r="D16" s="45">
        <v>5.7</v>
      </c>
      <c r="E16" s="46">
        <f>D16</f>
        <v>5.7</v>
      </c>
    </row>
    <row r="17" spans="1:5" ht="15">
      <c r="A17" s="44"/>
      <c r="B17" s="111" t="s">
        <v>112</v>
      </c>
      <c r="C17" s="112"/>
      <c r="D17" s="113"/>
      <c r="E17" s="46">
        <f>SUM(E16:E16)</f>
        <v>5.7</v>
      </c>
    </row>
    <row r="18" spans="1:5" ht="45">
      <c r="A18" s="44"/>
      <c r="B18" s="45" t="s">
        <v>113</v>
      </c>
      <c r="C18" s="45" t="s">
        <v>114</v>
      </c>
      <c r="D18" s="45" t="s">
        <v>115</v>
      </c>
      <c r="E18" s="46">
        <f>5.7*4.15</f>
        <v>23.655</v>
      </c>
    </row>
    <row r="19" spans="1:5" ht="15">
      <c r="A19" s="44"/>
      <c r="B19" s="45"/>
      <c r="C19" s="45" t="s">
        <v>89</v>
      </c>
      <c r="D19" s="45"/>
      <c r="E19" s="46">
        <f>E18</f>
        <v>23.655</v>
      </c>
    </row>
    <row r="20" spans="1:5" ht="15">
      <c r="A20" s="44"/>
      <c r="B20" s="45"/>
      <c r="C20" s="45" t="s">
        <v>116</v>
      </c>
      <c r="D20" s="45"/>
      <c r="E20" s="46">
        <f>E19*0.2</f>
        <v>4.731000000000001</v>
      </c>
    </row>
    <row r="21" spans="1:5" ht="15">
      <c r="A21" s="44"/>
      <c r="B21" s="45"/>
      <c r="C21" s="45" t="s">
        <v>89</v>
      </c>
      <c r="D21" s="45"/>
      <c r="E21" s="46">
        <f>E19+E20</f>
        <v>28.386000000000003</v>
      </c>
    </row>
    <row r="22" spans="1:5" ht="15">
      <c r="A22" s="47"/>
      <c r="B22" s="48"/>
      <c r="C22" s="48"/>
      <c r="D22" s="48"/>
      <c r="E22" s="48"/>
    </row>
    <row r="23" spans="1:5" ht="15">
      <c r="A23" s="49"/>
      <c r="B23" s="50" t="s">
        <v>117</v>
      </c>
      <c r="C23" s="49"/>
      <c r="D23" s="49"/>
      <c r="E23" s="49"/>
    </row>
    <row r="24" spans="1:5" ht="15">
      <c r="A24" s="49"/>
      <c r="B24" s="49"/>
      <c r="C24" s="114" t="s">
        <v>118</v>
      </c>
      <c r="D24" s="114"/>
      <c r="E24" s="49"/>
    </row>
    <row r="25" spans="1:5" ht="15">
      <c r="A25" s="49"/>
      <c r="B25" s="49"/>
      <c r="C25" s="49"/>
      <c r="D25" s="49"/>
      <c r="E25" s="49"/>
    </row>
    <row r="26" spans="1:5" ht="15">
      <c r="A26" s="49"/>
      <c r="B26" s="50" t="s">
        <v>119</v>
      </c>
      <c r="C26" s="49"/>
      <c r="D26" s="49"/>
      <c r="E26" s="49"/>
    </row>
    <row r="27" spans="1:5" ht="15">
      <c r="A27" s="49"/>
      <c r="B27" s="49"/>
      <c r="C27" s="114" t="s">
        <v>118</v>
      </c>
      <c r="D27" s="114"/>
      <c r="E27" s="49"/>
    </row>
  </sheetData>
  <sheetProtection/>
  <mergeCells count="15">
    <mergeCell ref="D1:E1"/>
    <mergeCell ref="D2:E2"/>
    <mergeCell ref="A4:E4"/>
    <mergeCell ref="A5:E5"/>
    <mergeCell ref="A7:E7"/>
    <mergeCell ref="A8:E8"/>
    <mergeCell ref="B17:D17"/>
    <mergeCell ref="C24:D24"/>
    <mergeCell ref="C27:D27"/>
    <mergeCell ref="A9:E9"/>
    <mergeCell ref="A11:E11"/>
    <mergeCell ref="A13:A14"/>
    <mergeCell ref="B13:B14"/>
    <mergeCell ref="C13:C14"/>
    <mergeCell ref="E13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Юрий</cp:lastModifiedBy>
  <cp:lastPrinted>2019-09-25T05:47:43Z</cp:lastPrinted>
  <dcterms:created xsi:type="dcterms:W3CDTF">2010-06-15T11:38:39Z</dcterms:created>
  <dcterms:modified xsi:type="dcterms:W3CDTF">2019-10-07T10:18:11Z</dcterms:modified>
  <cp:category/>
  <cp:version/>
  <cp:contentType/>
  <cp:contentStatus/>
</cp:coreProperties>
</file>